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etozzi-my.sharepoint.com/personal/info_etozzi_com/Documents/02 Altro/01 Procedure azienda/"/>
    </mc:Choice>
  </mc:AlternateContent>
  <xr:revisionPtr revIDLastSave="1942" documentId="8_{2E837184-8699-43CA-B9A0-38888BD4E819}" xr6:coauthVersionLast="47" xr6:coauthVersionMax="47" xr10:uidLastSave="{ECC2A218-2AA2-4A9E-B99A-FCD10E9CF4DF}"/>
  <bookViews>
    <workbookView xWindow="28680" yWindow="-120" windowWidth="29040" windowHeight="15720" tabRatio="590" xr2:uid="{00000000-000D-0000-FFFF-FFFF00000000}"/>
  </bookViews>
  <sheets>
    <sheet name="Financial Business Plan" sheetId="21" r:id="rId1"/>
  </sheets>
  <externalReferences>
    <externalReference r:id="rId2"/>
    <externalReference r:id="rId3"/>
  </externalReference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"10/01/2018 15:52:08"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21" l="1"/>
  <c r="M36" i="21"/>
  <c r="L36" i="21"/>
  <c r="K36" i="21"/>
  <c r="J36" i="21"/>
  <c r="H279" i="21"/>
  <c r="I279" i="21"/>
  <c r="H36" i="21" l="1"/>
  <c r="C1" i="21" l="1"/>
  <c r="H2" i="21"/>
  <c r="G2" i="21" s="1"/>
  <c r="F2" i="21" s="1"/>
  <c r="E2" i="21" s="1"/>
  <c r="G151" i="21" l="1"/>
  <c r="F151" i="21"/>
  <c r="E151" i="21"/>
  <c r="G299" i="21"/>
  <c r="F299" i="21"/>
  <c r="E299" i="21"/>
  <c r="G298" i="21"/>
  <c r="F298" i="21"/>
  <c r="E298" i="21"/>
  <c r="N94" i="21"/>
  <c r="M94" i="21"/>
  <c r="L94" i="21"/>
  <c r="K94" i="21"/>
  <c r="J94" i="21"/>
  <c r="N248" i="21"/>
  <c r="M248" i="21"/>
  <c r="L248" i="21"/>
  <c r="K248" i="21"/>
  <c r="J248" i="21"/>
  <c r="N116" i="21"/>
  <c r="M116" i="21"/>
  <c r="L116" i="21"/>
  <c r="K116" i="21"/>
  <c r="J116" i="21"/>
  <c r="N115" i="21"/>
  <c r="M115" i="21"/>
  <c r="L115" i="21"/>
  <c r="K115" i="21"/>
  <c r="J115" i="21"/>
  <c r="N114" i="21"/>
  <c r="M114" i="21"/>
  <c r="L114" i="21"/>
  <c r="K114" i="21"/>
  <c r="J114" i="21"/>
  <c r="N112" i="21"/>
  <c r="M112" i="21"/>
  <c r="L112" i="21"/>
  <c r="K112" i="21"/>
  <c r="J112" i="21"/>
  <c r="N111" i="21"/>
  <c r="M111" i="21"/>
  <c r="L111" i="21"/>
  <c r="K111" i="21"/>
  <c r="J111" i="21"/>
  <c r="G188" i="21"/>
  <c r="G193" i="21" s="1"/>
  <c r="F188" i="21"/>
  <c r="F193" i="21" s="1"/>
  <c r="E188" i="21"/>
  <c r="E193" i="21" s="1"/>
  <c r="G228" i="21"/>
  <c r="F228" i="21"/>
  <c r="E228" i="21"/>
  <c r="G287" i="21"/>
  <c r="F287" i="21"/>
  <c r="E287" i="21"/>
  <c r="G286" i="21"/>
  <c r="F286" i="21"/>
  <c r="E286" i="21"/>
  <c r="G290" i="21"/>
  <c r="F290" i="21"/>
  <c r="E290" i="21"/>
  <c r="E195" i="21"/>
  <c r="G199" i="21"/>
  <c r="F199" i="21"/>
  <c r="E199" i="21"/>
  <c r="E279" i="21"/>
  <c r="F279" i="21"/>
  <c r="G279" i="21"/>
  <c r="E276" i="21"/>
  <c r="G273" i="21"/>
  <c r="F273" i="21"/>
  <c r="E273" i="21"/>
  <c r="G272" i="21"/>
  <c r="F272" i="21"/>
  <c r="E272" i="21"/>
  <c r="G271" i="21"/>
  <c r="F271" i="21"/>
  <c r="E271" i="21"/>
  <c r="G270" i="21"/>
  <c r="F270" i="21"/>
  <c r="E270" i="21"/>
  <c r="G269" i="21"/>
  <c r="F269" i="21"/>
  <c r="E269" i="21"/>
  <c r="G268" i="21"/>
  <c r="F268" i="21"/>
  <c r="E268" i="21"/>
  <c r="G267" i="21"/>
  <c r="F267" i="21"/>
  <c r="E267" i="21"/>
  <c r="G266" i="21"/>
  <c r="F266" i="21"/>
  <c r="E266" i="21"/>
  <c r="G265" i="21"/>
  <c r="F265" i="21"/>
  <c r="E265" i="21"/>
  <c r="G264" i="21"/>
  <c r="F264" i="21"/>
  <c r="E264" i="21"/>
  <c r="B273" i="21"/>
  <c r="B272" i="21"/>
  <c r="B271" i="21"/>
  <c r="B270" i="21"/>
  <c r="B269" i="21"/>
  <c r="B268" i="21"/>
  <c r="B267" i="21"/>
  <c r="B266" i="21"/>
  <c r="B265" i="21"/>
  <c r="B264" i="21"/>
  <c r="G253" i="21"/>
  <c r="F253" i="21"/>
  <c r="E253" i="21"/>
  <c r="G252" i="21"/>
  <c r="F252" i="21"/>
  <c r="E252" i="21"/>
  <c r="G251" i="21"/>
  <c r="F251" i="21"/>
  <c r="E251" i="21"/>
  <c r="G258" i="21"/>
  <c r="F258" i="21"/>
  <c r="E258" i="21"/>
  <c r="F243" i="21" s="1"/>
  <c r="G257" i="21"/>
  <c r="H242" i="21" s="1"/>
  <c r="F257" i="21"/>
  <c r="G242" i="21" s="1"/>
  <c r="E257" i="21"/>
  <c r="F242" i="21" s="1"/>
  <c r="G256" i="21"/>
  <c r="H241" i="21" s="1"/>
  <c r="F256" i="21"/>
  <c r="G241" i="21" s="1"/>
  <c r="E256" i="21"/>
  <c r="F241" i="21" s="1"/>
  <c r="B258" i="21"/>
  <c r="B257" i="21"/>
  <c r="B256" i="21"/>
  <c r="B253" i="21"/>
  <c r="B252" i="21"/>
  <c r="B251" i="21"/>
  <c r="B243" i="21"/>
  <c r="B248" i="21" s="1"/>
  <c r="B242" i="21"/>
  <c r="B247" i="21" s="1"/>
  <c r="B241" i="21"/>
  <c r="B246" i="21" s="1"/>
  <c r="G233" i="21"/>
  <c r="F233" i="21"/>
  <c r="E233" i="21"/>
  <c r="G232" i="21"/>
  <c r="F232" i="21"/>
  <c r="E232" i="21"/>
  <c r="G231" i="21"/>
  <c r="F231" i="21"/>
  <c r="E231" i="21"/>
  <c r="G230" i="21"/>
  <c r="F230" i="21"/>
  <c r="E230" i="21"/>
  <c r="G229" i="21"/>
  <c r="F229" i="21"/>
  <c r="E229" i="21"/>
  <c r="G226" i="21"/>
  <c r="F226" i="21"/>
  <c r="E226" i="21"/>
  <c r="G225" i="21"/>
  <c r="F225" i="21"/>
  <c r="E225" i="21"/>
  <c r="G224" i="21"/>
  <c r="F224" i="21"/>
  <c r="E224" i="21"/>
  <c r="G223" i="21"/>
  <c r="F223" i="21"/>
  <c r="E223" i="21"/>
  <c r="G222" i="21"/>
  <c r="F222" i="21"/>
  <c r="E222" i="21"/>
  <c r="G221" i="21"/>
  <c r="F221" i="21"/>
  <c r="E221" i="21"/>
  <c r="G220" i="21"/>
  <c r="F220" i="21"/>
  <c r="E220" i="21"/>
  <c r="G219" i="21"/>
  <c r="F219" i="21"/>
  <c r="E219" i="21"/>
  <c r="G218" i="21"/>
  <c r="F218" i="21"/>
  <c r="E218" i="21"/>
  <c r="G217" i="21"/>
  <c r="F217" i="21"/>
  <c r="E217" i="21"/>
  <c r="G216" i="21"/>
  <c r="F216" i="21"/>
  <c r="E216" i="21"/>
  <c r="G215" i="21"/>
  <c r="F215" i="21"/>
  <c r="E215" i="21"/>
  <c r="G214" i="21"/>
  <c r="F214" i="21"/>
  <c r="E214" i="21"/>
  <c r="G213" i="21"/>
  <c r="F213" i="21"/>
  <c r="E213" i="21"/>
  <c r="G212" i="21"/>
  <c r="F212" i="21"/>
  <c r="E212" i="21"/>
  <c r="G211" i="21"/>
  <c r="F211" i="21"/>
  <c r="E211" i="21"/>
  <c r="B233" i="21"/>
  <c r="B232" i="21"/>
  <c r="B231" i="21"/>
  <c r="B230" i="21"/>
  <c r="B229" i="21"/>
  <c r="B228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G182" i="21"/>
  <c r="F182" i="21"/>
  <c r="E182" i="21"/>
  <c r="E96" i="21"/>
  <c r="G109" i="21"/>
  <c r="F109" i="21"/>
  <c r="E109" i="21"/>
  <c r="F96" i="21"/>
  <c r="G96" i="21"/>
  <c r="G110" i="21" s="1"/>
  <c r="G178" i="21"/>
  <c r="G291" i="21" s="1"/>
  <c r="F178" i="21"/>
  <c r="F291" i="21" s="1"/>
  <c r="E178" i="21"/>
  <c r="E291" i="21" s="1"/>
  <c r="G172" i="21"/>
  <c r="F172" i="21"/>
  <c r="E172" i="21"/>
  <c r="I47" i="21" l="1"/>
  <c r="J47" i="21" s="1"/>
  <c r="K47" i="21" s="1"/>
  <c r="L47" i="21" s="1"/>
  <c r="M47" i="21" s="1"/>
  <c r="N47" i="21" s="1"/>
  <c r="E274" i="21"/>
  <c r="E278" i="21" s="1"/>
  <c r="E277" i="21" s="1"/>
  <c r="E198" i="21" s="1"/>
  <c r="F274" i="21"/>
  <c r="F278" i="21" s="1"/>
  <c r="G276" i="21" s="1"/>
  <c r="G274" i="21"/>
  <c r="G278" i="21" s="1"/>
  <c r="H276" i="21" s="1"/>
  <c r="F282" i="21"/>
  <c r="E282" i="21"/>
  <c r="G282" i="21"/>
  <c r="F110" i="21"/>
  <c r="F247" i="21"/>
  <c r="F248" i="21"/>
  <c r="G243" i="21"/>
  <c r="G248" i="21" s="1"/>
  <c r="H243" i="21"/>
  <c r="F246" i="21"/>
  <c r="G247" i="21"/>
  <c r="G246" i="21"/>
  <c r="F235" i="21"/>
  <c r="E235" i="21"/>
  <c r="G235" i="21"/>
  <c r="E110" i="21"/>
  <c r="I39" i="21"/>
  <c r="H39" i="21"/>
  <c r="I38" i="21"/>
  <c r="H38" i="21"/>
  <c r="I37" i="21"/>
  <c r="H37" i="21"/>
  <c r="I19" i="21"/>
  <c r="J19" i="21" s="1"/>
  <c r="I11" i="21"/>
  <c r="H11" i="21"/>
  <c r="H298" i="21"/>
  <c r="I83" i="21"/>
  <c r="J83" i="21" s="1"/>
  <c r="H83" i="21"/>
  <c r="I81" i="21"/>
  <c r="J81" i="21" s="1"/>
  <c r="H81" i="21"/>
  <c r="I66" i="21"/>
  <c r="J66" i="21" s="1"/>
  <c r="K66" i="21" s="1"/>
  <c r="K155" i="21" s="1"/>
  <c r="K287" i="21" s="1"/>
  <c r="J175" i="21"/>
  <c r="I258" i="21"/>
  <c r="I257" i="21"/>
  <c r="J155" i="21" l="1"/>
  <c r="J287" i="21" s="1"/>
  <c r="L66" i="21"/>
  <c r="M66" i="21" s="1"/>
  <c r="J171" i="21"/>
  <c r="K83" i="21"/>
  <c r="K81" i="21"/>
  <c r="J169" i="21"/>
  <c r="J25" i="21"/>
  <c r="J246" i="21" s="1"/>
  <c r="K19" i="21"/>
  <c r="J101" i="21"/>
  <c r="F283" i="21"/>
  <c r="I137" i="21"/>
  <c r="I256" i="21"/>
  <c r="J241" i="21" s="1"/>
  <c r="I131" i="21"/>
  <c r="F276" i="21"/>
  <c r="F277" i="21" s="1"/>
  <c r="F198" i="21" s="1"/>
  <c r="F200" i="21" s="1"/>
  <c r="F303" i="21" s="1"/>
  <c r="E283" i="21"/>
  <c r="G236" i="21"/>
  <c r="K175" i="21"/>
  <c r="I269" i="21"/>
  <c r="I75" i="21"/>
  <c r="J75" i="21" s="1"/>
  <c r="I273" i="21"/>
  <c r="I79" i="21"/>
  <c r="J79" i="21" s="1"/>
  <c r="H228" i="21"/>
  <c r="H73" i="21"/>
  <c r="I265" i="21"/>
  <c r="I68" i="21"/>
  <c r="J68" i="21" s="1"/>
  <c r="I228" i="21"/>
  <c r="I271" i="21"/>
  <c r="I77" i="21"/>
  <c r="J77" i="21" s="1"/>
  <c r="I267" i="21"/>
  <c r="I70" i="21"/>
  <c r="H265" i="21"/>
  <c r="H68" i="21"/>
  <c r="H271" i="21"/>
  <c r="H77" i="21"/>
  <c r="H287" i="21"/>
  <c r="H66" i="21"/>
  <c r="H267" i="21"/>
  <c r="H70" i="21"/>
  <c r="H71" i="21" s="1"/>
  <c r="H269" i="21"/>
  <c r="H75" i="21"/>
  <c r="H273" i="21"/>
  <c r="H79" i="21"/>
  <c r="I211" i="21"/>
  <c r="H212" i="21"/>
  <c r="H48" i="21"/>
  <c r="I212" i="21"/>
  <c r="I214" i="21"/>
  <c r="I216" i="21"/>
  <c r="I52" i="21"/>
  <c r="J52" i="21" s="1"/>
  <c r="H223" i="21"/>
  <c r="H59" i="21"/>
  <c r="H225" i="21"/>
  <c r="H61" i="21"/>
  <c r="H213" i="21"/>
  <c r="H49" i="21"/>
  <c r="H215" i="21"/>
  <c r="H51" i="21"/>
  <c r="H218" i="21"/>
  <c r="H54" i="21"/>
  <c r="I223" i="21"/>
  <c r="I59" i="21"/>
  <c r="J59" i="21" s="1"/>
  <c r="I225" i="21"/>
  <c r="I61" i="21"/>
  <c r="J61" i="21" s="1"/>
  <c r="I213" i="21"/>
  <c r="I215" i="21"/>
  <c r="I51" i="21"/>
  <c r="J51" i="21" s="1"/>
  <c r="K51" i="21" s="1"/>
  <c r="L51" i="21" s="1"/>
  <c r="M51" i="21" s="1"/>
  <c r="N51" i="21" s="1"/>
  <c r="H220" i="21"/>
  <c r="H56" i="21"/>
  <c r="H224" i="21"/>
  <c r="H60" i="21"/>
  <c r="H226" i="21"/>
  <c r="H63" i="21"/>
  <c r="H214" i="21"/>
  <c r="H50" i="21"/>
  <c r="H216" i="21"/>
  <c r="H52" i="21"/>
  <c r="H222" i="21"/>
  <c r="H58" i="21"/>
  <c r="I224" i="21"/>
  <c r="I60" i="21"/>
  <c r="J60" i="21" s="1"/>
  <c r="I226" i="21"/>
  <c r="I63" i="21"/>
  <c r="J63" i="21" s="1"/>
  <c r="H14" i="21"/>
  <c r="H16" i="21"/>
  <c r="H251" i="21"/>
  <c r="H19" i="21"/>
  <c r="I253" i="21"/>
  <c r="I21" i="21"/>
  <c r="J21" i="21" s="1"/>
  <c r="H30" i="21"/>
  <c r="H32" i="21"/>
  <c r="H15" i="21"/>
  <c r="H17" i="21"/>
  <c r="H252" i="21"/>
  <c r="H20" i="21"/>
  <c r="G277" i="21"/>
  <c r="G198" i="21" s="1"/>
  <c r="G200" i="21" s="1"/>
  <c r="G303" i="21" s="1"/>
  <c r="G283" i="21"/>
  <c r="G284" i="21" s="1"/>
  <c r="G293" i="21" s="1"/>
  <c r="H253" i="21"/>
  <c r="H21" i="21"/>
  <c r="H31" i="21"/>
  <c r="F284" i="21"/>
  <c r="F293" i="21" s="1"/>
  <c r="I287" i="21"/>
  <c r="I190" i="21"/>
  <c r="E284" i="21"/>
  <c r="E293" i="21" s="1"/>
  <c r="F195" i="21"/>
  <c r="F196" i="21" s="1"/>
  <c r="G195" i="21"/>
  <c r="I251" i="21"/>
  <c r="H233" i="21"/>
  <c r="H231" i="21"/>
  <c r="I233" i="21"/>
  <c r="I231" i="21"/>
  <c r="J243" i="21"/>
  <c r="J242" i="21"/>
  <c r="F236" i="21"/>
  <c r="H257" i="21"/>
  <c r="H178" i="21"/>
  <c r="H291" i="21" s="1"/>
  <c r="H80" i="21"/>
  <c r="H82" i="21"/>
  <c r="H109" i="21"/>
  <c r="H34" i="21"/>
  <c r="H35" i="21"/>
  <c r="H258" i="21"/>
  <c r="I205" i="21"/>
  <c r="I80" i="21"/>
  <c r="J80" i="21" s="1"/>
  <c r="I82" i="21"/>
  <c r="J82" i="21" s="1"/>
  <c r="I34" i="21"/>
  <c r="I35" i="21"/>
  <c r="E301" i="21"/>
  <c r="F301" i="21"/>
  <c r="G301" i="21"/>
  <c r="E196" i="21"/>
  <c r="E302" i="21" s="1"/>
  <c r="E200" i="21"/>
  <c r="E303" i="21" s="1"/>
  <c r="J190" i="21" l="1"/>
  <c r="K190" i="21"/>
  <c r="L155" i="21"/>
  <c r="L287" i="21" s="1"/>
  <c r="K80" i="21"/>
  <c r="J168" i="21"/>
  <c r="K59" i="21"/>
  <c r="J145" i="21"/>
  <c r="J223" i="21" s="1"/>
  <c r="K52" i="21"/>
  <c r="J138" i="21"/>
  <c r="J216" i="21" s="1"/>
  <c r="K75" i="21"/>
  <c r="J163" i="21"/>
  <c r="K82" i="21"/>
  <c r="J170" i="21"/>
  <c r="K21" i="21"/>
  <c r="J103" i="21"/>
  <c r="J253" i="21" s="1"/>
  <c r="J258" i="21" s="1"/>
  <c r="K60" i="21"/>
  <c r="J146" i="21"/>
  <c r="J224" i="21" s="1"/>
  <c r="J251" i="21"/>
  <c r="J256" i="21" s="1"/>
  <c r="L81" i="21"/>
  <c r="K169" i="21"/>
  <c r="K61" i="21"/>
  <c r="J148" i="21"/>
  <c r="J225" i="21" s="1"/>
  <c r="K68" i="21"/>
  <c r="J157" i="21"/>
  <c r="J265" i="21" s="1"/>
  <c r="K79" i="21"/>
  <c r="J167" i="21"/>
  <c r="J273" i="21" s="1"/>
  <c r="K101" i="21"/>
  <c r="K25" i="21"/>
  <c r="K246" i="21" s="1"/>
  <c r="L19" i="21"/>
  <c r="L83" i="21"/>
  <c r="K171" i="21"/>
  <c r="J150" i="21"/>
  <c r="J226" i="21" s="1"/>
  <c r="K63" i="21"/>
  <c r="K77" i="21"/>
  <c r="J165" i="21"/>
  <c r="N66" i="21"/>
  <c r="N155" i="21" s="1"/>
  <c r="M155" i="21"/>
  <c r="I71" i="21"/>
  <c r="J70" i="21"/>
  <c r="I147" i="21"/>
  <c r="I151" i="21" s="1"/>
  <c r="H256" i="21"/>
  <c r="H246" i="21" s="1"/>
  <c r="H25" i="21" s="1"/>
  <c r="H131" i="21"/>
  <c r="I43" i="21"/>
  <c r="H137" i="21"/>
  <c r="H43" i="21"/>
  <c r="H147" i="21"/>
  <c r="I16" i="21"/>
  <c r="J16" i="21" s="1"/>
  <c r="K16" i="21" s="1"/>
  <c r="L16" i="21" s="1"/>
  <c r="M16" i="21" s="1"/>
  <c r="N16" i="21" s="1"/>
  <c r="I298" i="21"/>
  <c r="L175" i="21"/>
  <c r="I65" i="21"/>
  <c r="J65" i="21" s="1"/>
  <c r="H286" i="21"/>
  <c r="H65" i="21"/>
  <c r="I272" i="21"/>
  <c r="I78" i="21"/>
  <c r="J78" i="21" s="1"/>
  <c r="I73" i="21"/>
  <c r="J73" i="21" s="1"/>
  <c r="K73" i="21" s="1"/>
  <c r="L73" i="21" s="1"/>
  <c r="M73" i="21" s="1"/>
  <c r="N73" i="21" s="1"/>
  <c r="I270" i="21"/>
  <c r="I76" i="21"/>
  <c r="J76" i="21" s="1"/>
  <c r="I264" i="21"/>
  <c r="I67" i="21"/>
  <c r="J67" i="21" s="1"/>
  <c r="I178" i="21"/>
  <c r="I291" i="21" s="1"/>
  <c r="J176" i="21"/>
  <c r="J199" i="21" s="1"/>
  <c r="H272" i="21"/>
  <c r="H78" i="21"/>
  <c r="H266" i="21"/>
  <c r="H69" i="21"/>
  <c r="I268" i="21"/>
  <c r="I72" i="21"/>
  <c r="J72" i="21" s="1"/>
  <c r="H229" i="21"/>
  <c r="H74" i="21"/>
  <c r="I266" i="21"/>
  <c r="I69" i="21"/>
  <c r="J69" i="21" s="1"/>
  <c r="H268" i="21"/>
  <c r="H72" i="21"/>
  <c r="I12" i="21"/>
  <c r="J12" i="21" s="1"/>
  <c r="K12" i="21" s="1"/>
  <c r="L12" i="21" s="1"/>
  <c r="M12" i="21" s="1"/>
  <c r="N12" i="21" s="1"/>
  <c r="I229" i="21"/>
  <c r="I74" i="21"/>
  <c r="J74" i="21" s="1"/>
  <c r="K74" i="21" s="1"/>
  <c r="L74" i="21" s="1"/>
  <c r="M74" i="21" s="1"/>
  <c r="N74" i="21" s="1"/>
  <c r="H270" i="21"/>
  <c r="H76" i="21"/>
  <c r="H264" i="21"/>
  <c r="H67" i="21"/>
  <c r="I221" i="21"/>
  <c r="I57" i="21"/>
  <c r="J57" i="21" s="1"/>
  <c r="I220" i="21"/>
  <c r="I56" i="21"/>
  <c r="J56" i="21" s="1"/>
  <c r="H219" i="21"/>
  <c r="H55" i="21"/>
  <c r="I50" i="21"/>
  <c r="J50" i="21" s="1"/>
  <c r="K50" i="21" s="1"/>
  <c r="L50" i="21" s="1"/>
  <c r="M50" i="21" s="1"/>
  <c r="N50" i="21" s="1"/>
  <c r="I219" i="21"/>
  <c r="I55" i="21"/>
  <c r="J55" i="21" s="1"/>
  <c r="H211" i="21"/>
  <c r="H47" i="21"/>
  <c r="I222" i="21"/>
  <c r="I58" i="21"/>
  <c r="J58" i="21" s="1"/>
  <c r="I218" i="21"/>
  <c r="I54" i="21"/>
  <c r="J54" i="21" s="1"/>
  <c r="H221" i="21"/>
  <c r="H57" i="21"/>
  <c r="H217" i="21"/>
  <c r="H53" i="21"/>
  <c r="I49" i="21"/>
  <c r="J49" i="21" s="1"/>
  <c r="K49" i="21" s="1"/>
  <c r="L49" i="21" s="1"/>
  <c r="M49" i="21" s="1"/>
  <c r="N49" i="21" s="1"/>
  <c r="I48" i="21"/>
  <c r="J48" i="21" s="1"/>
  <c r="K48" i="21" s="1"/>
  <c r="L48" i="21" s="1"/>
  <c r="M48" i="21" s="1"/>
  <c r="N48" i="21" s="1"/>
  <c r="I217" i="21"/>
  <c r="I53" i="21"/>
  <c r="J53" i="21" s="1"/>
  <c r="K53" i="21" s="1"/>
  <c r="L53" i="21" s="1"/>
  <c r="M53" i="21" s="1"/>
  <c r="N53" i="21" s="1"/>
  <c r="I17" i="21"/>
  <c r="J17" i="21" s="1"/>
  <c r="M17" i="21" s="1"/>
  <c r="I8" i="21"/>
  <c r="H96" i="21"/>
  <c r="H110" i="21" s="1"/>
  <c r="H122" i="21" s="1"/>
  <c r="H299" i="21" s="1"/>
  <c r="H12" i="21"/>
  <c r="I15" i="21"/>
  <c r="J15" i="21" s="1"/>
  <c r="I32" i="21"/>
  <c r="J32" i="21" s="1"/>
  <c r="K32" i="21" s="1"/>
  <c r="L32" i="21" s="1"/>
  <c r="M32" i="21" s="1"/>
  <c r="N32" i="21" s="1"/>
  <c r="I14" i="21"/>
  <c r="J14" i="21" s="1"/>
  <c r="K14" i="21" s="1"/>
  <c r="L14" i="21" s="1"/>
  <c r="M14" i="21" s="1"/>
  <c r="N14" i="21" s="1"/>
  <c r="I31" i="21"/>
  <c r="J31" i="21" s="1"/>
  <c r="K31" i="21" s="1"/>
  <c r="L31" i="21" s="1"/>
  <c r="M31" i="21" s="1"/>
  <c r="N31" i="21" s="1"/>
  <c r="I30" i="21"/>
  <c r="J30" i="21" s="1"/>
  <c r="K30" i="21" s="1"/>
  <c r="L30" i="21" s="1"/>
  <c r="M30" i="21" s="1"/>
  <c r="N30" i="21" s="1"/>
  <c r="I189" i="21"/>
  <c r="I20" i="21"/>
  <c r="I22" i="21"/>
  <c r="H22" i="21"/>
  <c r="I36" i="21"/>
  <c r="I286" i="21"/>
  <c r="I191" i="21"/>
  <c r="G196" i="21"/>
  <c r="G202" i="21" s="1"/>
  <c r="H205" i="21"/>
  <c r="H290" i="21"/>
  <c r="I290" i="21"/>
  <c r="H199" i="21"/>
  <c r="I199" i="21"/>
  <c r="H230" i="21"/>
  <c r="I232" i="21"/>
  <c r="I230" i="21"/>
  <c r="H232" i="21"/>
  <c r="H248" i="21"/>
  <c r="H27" i="21" s="1"/>
  <c r="I243" i="21"/>
  <c r="I248" i="21" s="1"/>
  <c r="I27" i="21" s="1"/>
  <c r="I242" i="21"/>
  <c r="H247" i="21"/>
  <c r="H26" i="21" s="1"/>
  <c r="I109" i="21"/>
  <c r="I252" i="21"/>
  <c r="H117" i="21"/>
  <c r="I117" i="21"/>
  <c r="I96" i="21"/>
  <c r="I172" i="21"/>
  <c r="H172" i="21"/>
  <c r="H179" i="21" s="1"/>
  <c r="F202" i="21"/>
  <c r="F179" i="21"/>
  <c r="F181" i="21" s="1"/>
  <c r="G179" i="21"/>
  <c r="G181" i="21" s="1"/>
  <c r="E202" i="21"/>
  <c r="E204" i="21" s="1"/>
  <c r="F186" i="21" s="1"/>
  <c r="F302" i="21"/>
  <c r="I186" i="21" l="1"/>
  <c r="I206" i="21"/>
  <c r="L190" i="21"/>
  <c r="J130" i="21"/>
  <c r="K243" i="21"/>
  <c r="J128" i="21"/>
  <c r="K241" i="21"/>
  <c r="J102" i="21"/>
  <c r="J247" i="21"/>
  <c r="K54" i="21"/>
  <c r="J140" i="21"/>
  <c r="J218" i="21" s="1"/>
  <c r="K69" i="21"/>
  <c r="J158" i="21"/>
  <c r="J266" i="21" s="1"/>
  <c r="K67" i="21"/>
  <c r="J156" i="21"/>
  <c r="J264" i="21" s="1"/>
  <c r="K65" i="21"/>
  <c r="J154" i="21"/>
  <c r="L77" i="21"/>
  <c r="K165" i="21"/>
  <c r="K163" i="21"/>
  <c r="L75" i="21"/>
  <c r="L59" i="21"/>
  <c r="K145" i="21"/>
  <c r="K223" i="21" s="1"/>
  <c r="K78" i="21"/>
  <c r="J166" i="21"/>
  <c r="J272" i="21" s="1"/>
  <c r="L25" i="21"/>
  <c r="L246" i="21" s="1"/>
  <c r="L101" i="21"/>
  <c r="M19" i="21"/>
  <c r="L79" i="21"/>
  <c r="K167" i="21"/>
  <c r="K273" i="21" s="1"/>
  <c r="L61" i="21"/>
  <c r="K148" i="21"/>
  <c r="K225" i="21" s="1"/>
  <c r="J143" i="21"/>
  <c r="J221" i="21" s="1"/>
  <c r="K57" i="21"/>
  <c r="L63" i="21"/>
  <c r="K150" i="21"/>
  <c r="K226" i="21" s="1"/>
  <c r="K251" i="21"/>
  <c r="K157" i="21"/>
  <c r="K265" i="21" s="1"/>
  <c r="L68" i="21"/>
  <c r="M81" i="21"/>
  <c r="L169" i="21"/>
  <c r="K146" i="21"/>
  <c r="K224" i="21" s="1"/>
  <c r="L60" i="21"/>
  <c r="L82" i="21"/>
  <c r="K170" i="21"/>
  <c r="K56" i="21"/>
  <c r="J142" i="21"/>
  <c r="J220" i="21" s="1"/>
  <c r="L21" i="21"/>
  <c r="K103" i="21"/>
  <c r="K253" i="21" s="1"/>
  <c r="J91" i="21"/>
  <c r="J298" i="21" s="1"/>
  <c r="K58" i="21"/>
  <c r="J144" i="21"/>
  <c r="J222" i="21" s="1"/>
  <c r="K55" i="21"/>
  <c r="J141" i="21"/>
  <c r="J219" i="21" s="1"/>
  <c r="J160" i="21"/>
  <c r="J268" i="21" s="1"/>
  <c r="K72" i="21"/>
  <c r="K76" i="21"/>
  <c r="J164" i="21"/>
  <c r="M83" i="21"/>
  <c r="L171" i="21"/>
  <c r="L52" i="21"/>
  <c r="K138" i="21"/>
  <c r="K216" i="21" s="1"/>
  <c r="L80" i="21"/>
  <c r="K168" i="21"/>
  <c r="M287" i="21"/>
  <c r="M190" i="21"/>
  <c r="N287" i="21"/>
  <c r="N190" i="21"/>
  <c r="K70" i="21"/>
  <c r="J159" i="21"/>
  <c r="I241" i="21"/>
  <c r="I246" i="21" s="1"/>
  <c r="I25" i="21" s="1"/>
  <c r="H151" i="21"/>
  <c r="H181" i="21" s="1"/>
  <c r="G302" i="21"/>
  <c r="I179" i="21"/>
  <c r="I181" i="21" s="1"/>
  <c r="H274" i="21"/>
  <c r="H278" i="21" s="1"/>
  <c r="I276" i="21" s="1"/>
  <c r="M175" i="21"/>
  <c r="H282" i="21"/>
  <c r="I274" i="21"/>
  <c r="I278" i="21" s="1"/>
  <c r="J276" i="21" s="1"/>
  <c r="I282" i="21"/>
  <c r="I281" i="21" s="1"/>
  <c r="H235" i="21"/>
  <c r="H236" i="21" s="1"/>
  <c r="I235" i="21"/>
  <c r="H195" i="21"/>
  <c r="I110" i="21"/>
  <c r="I247" i="21"/>
  <c r="H118" i="21"/>
  <c r="F204" i="21"/>
  <c r="G186" i="21" s="1"/>
  <c r="G204" i="21" s="1"/>
  <c r="H186" i="21" s="1"/>
  <c r="I283" i="21" l="1"/>
  <c r="I284" i="21" s="1"/>
  <c r="I293" i="21" s="1"/>
  <c r="H120" i="21"/>
  <c r="H188" i="21" s="1"/>
  <c r="H193" i="21" s="1"/>
  <c r="H301" i="21" s="1"/>
  <c r="H41" i="21"/>
  <c r="J95" i="21"/>
  <c r="K258" i="21"/>
  <c r="L243" i="21" s="1"/>
  <c r="J161" i="21"/>
  <c r="J228" i="21" s="1"/>
  <c r="K91" i="21"/>
  <c r="K298" i="21" s="1"/>
  <c r="J99" i="21"/>
  <c r="J97" i="21"/>
  <c r="J136" i="21" s="1"/>
  <c r="J215" i="21" s="1"/>
  <c r="J134" i="21"/>
  <c r="J107" i="21"/>
  <c r="J139" i="21"/>
  <c r="J147" i="21" s="1"/>
  <c r="J106" i="21"/>
  <c r="J108" i="21"/>
  <c r="J133" i="21"/>
  <c r="J98" i="21"/>
  <c r="J100" i="21"/>
  <c r="J271" i="21" s="1"/>
  <c r="J135" i="21"/>
  <c r="J214" i="21" s="1"/>
  <c r="L56" i="21"/>
  <c r="K142" i="21"/>
  <c r="K220" i="21" s="1"/>
  <c r="L150" i="21"/>
  <c r="L226" i="21" s="1"/>
  <c r="M63" i="21"/>
  <c r="M25" i="21"/>
  <c r="M246" i="21" s="1"/>
  <c r="M101" i="21"/>
  <c r="N19" i="21"/>
  <c r="K166" i="21"/>
  <c r="K272" i="21" s="1"/>
  <c r="L78" i="21"/>
  <c r="L65" i="21"/>
  <c r="K154" i="21"/>
  <c r="L69" i="21"/>
  <c r="K158" i="21"/>
  <c r="K266" i="21" s="1"/>
  <c r="J195" i="21"/>
  <c r="J196" i="21" s="1"/>
  <c r="J302" i="21" s="1"/>
  <c r="L138" i="21"/>
  <c r="L216" i="21" s="1"/>
  <c r="M52" i="21"/>
  <c r="L76" i="21"/>
  <c r="K164" i="21"/>
  <c r="L55" i="21"/>
  <c r="K141" i="21"/>
  <c r="K219" i="21" s="1"/>
  <c r="M61" i="21"/>
  <c r="L148" i="21"/>
  <c r="L225" i="21" s="1"/>
  <c r="L251" i="21"/>
  <c r="J252" i="21"/>
  <c r="J257" i="21" s="1"/>
  <c r="J189" i="21"/>
  <c r="L72" i="21"/>
  <c r="K160" i="21"/>
  <c r="K268" i="21" s="1"/>
  <c r="M21" i="21"/>
  <c r="L103" i="21"/>
  <c r="L253" i="21" s="1"/>
  <c r="M82" i="21"/>
  <c r="L170" i="21"/>
  <c r="M169" i="21"/>
  <c r="N81" i="21"/>
  <c r="N169" i="21" s="1"/>
  <c r="L57" i="21"/>
  <c r="K143" i="21"/>
  <c r="K221" i="21" s="1"/>
  <c r="L145" i="21"/>
  <c r="L223" i="21" s="1"/>
  <c r="M59" i="21"/>
  <c r="L165" i="21"/>
  <c r="M77" i="21"/>
  <c r="L67" i="21"/>
  <c r="K156" i="21"/>
  <c r="K264" i="21" s="1"/>
  <c r="L54" i="21"/>
  <c r="K140" i="21"/>
  <c r="K218" i="21" s="1"/>
  <c r="K256" i="21"/>
  <c r="L168" i="21"/>
  <c r="M80" i="21"/>
  <c r="N83" i="21"/>
  <c r="N171" i="21" s="1"/>
  <c r="M171" i="21"/>
  <c r="L58" i="21"/>
  <c r="K144" i="21"/>
  <c r="K222" i="21" s="1"/>
  <c r="M60" i="21"/>
  <c r="L146" i="21"/>
  <c r="L224" i="21" s="1"/>
  <c r="L157" i="21"/>
  <c r="L265" i="21" s="1"/>
  <c r="M68" i="21"/>
  <c r="M79" i="21"/>
  <c r="L167" i="21"/>
  <c r="L273" i="21" s="1"/>
  <c r="L163" i="21"/>
  <c r="M75" i="21"/>
  <c r="J286" i="21"/>
  <c r="J191" i="21"/>
  <c r="K102" i="21"/>
  <c r="K247" i="21"/>
  <c r="K195" i="21" s="1"/>
  <c r="K196" i="21" s="1"/>
  <c r="K302" i="21" s="1"/>
  <c r="J267" i="21"/>
  <c r="K159" i="21"/>
  <c r="L70" i="21"/>
  <c r="I195" i="21"/>
  <c r="I196" i="21" s="1"/>
  <c r="I302" i="21" s="1"/>
  <c r="H281" i="21"/>
  <c r="H277" i="21"/>
  <c r="H198" i="21" s="1"/>
  <c r="H200" i="21" s="1"/>
  <c r="H303" i="21" s="1"/>
  <c r="I118" i="21"/>
  <c r="I122" i="21"/>
  <c r="I299" i="21" s="1"/>
  <c r="H283" i="21"/>
  <c r="H284" i="21" s="1"/>
  <c r="H293" i="21" s="1"/>
  <c r="I277" i="21"/>
  <c r="I198" i="21" s="1"/>
  <c r="I200" i="21" s="1"/>
  <c r="I303" i="21" s="1"/>
  <c r="J269" i="21"/>
  <c r="N175" i="21"/>
  <c r="J233" i="21"/>
  <c r="J232" i="21"/>
  <c r="J270" i="21"/>
  <c r="I26" i="21"/>
  <c r="H182" i="21"/>
  <c r="I236" i="21"/>
  <c r="I192" i="21" s="1"/>
  <c r="H196" i="21"/>
  <c r="J212" i="21" l="1"/>
  <c r="J92" i="21"/>
  <c r="J213" i="21"/>
  <c r="J93" i="21"/>
  <c r="J96" i="21"/>
  <c r="I120" i="21"/>
  <c r="K41" i="21" s="1"/>
  <c r="L41" i="21" s="1"/>
  <c r="M41" i="21" s="1"/>
  <c r="N41" i="21" s="1"/>
  <c r="I41" i="21"/>
  <c r="J162" i="21"/>
  <c r="J229" i="21" s="1"/>
  <c r="K130" i="21"/>
  <c r="L258" i="21"/>
  <c r="M243" i="21" s="1"/>
  <c r="J132" i="21"/>
  <c r="K95" i="21"/>
  <c r="L91" i="21"/>
  <c r="L298" i="21" s="1"/>
  <c r="K97" i="21"/>
  <c r="K132" i="21" s="1"/>
  <c r="K105" i="21" s="1"/>
  <c r="K133" i="21"/>
  <c r="K99" i="21"/>
  <c r="K134" i="21"/>
  <c r="K107" i="21"/>
  <c r="K135" i="21"/>
  <c r="K214" i="21" s="1"/>
  <c r="J104" i="21"/>
  <c r="K106" i="21"/>
  <c r="K108" i="21"/>
  <c r="K139" i="21"/>
  <c r="K147" i="21" s="1"/>
  <c r="J217" i="21"/>
  <c r="K98" i="21"/>
  <c r="K100" i="21"/>
  <c r="K271" i="21" s="1"/>
  <c r="K161" i="21"/>
  <c r="K228" i="21" s="1"/>
  <c r="J129" i="21"/>
  <c r="J131" i="21" s="1"/>
  <c r="K242" i="21"/>
  <c r="N60" i="21"/>
  <c r="N146" i="21" s="1"/>
  <c r="N224" i="21" s="1"/>
  <c r="M146" i="21"/>
  <c r="M224" i="21" s="1"/>
  <c r="N77" i="21"/>
  <c r="N165" i="21" s="1"/>
  <c r="M165" i="21"/>
  <c r="N61" i="21"/>
  <c r="N148" i="21" s="1"/>
  <c r="N225" i="21" s="1"/>
  <c r="M148" i="21"/>
  <c r="M225" i="21" s="1"/>
  <c r="M163" i="21"/>
  <c r="N75" i="21"/>
  <c r="N163" i="21" s="1"/>
  <c r="M157" i="21"/>
  <c r="M265" i="21" s="1"/>
  <c r="N68" i="21"/>
  <c r="N157" i="21" s="1"/>
  <c r="N265" i="21" s="1"/>
  <c r="M168" i="21"/>
  <c r="N80" i="21"/>
  <c r="N168" i="21" s="1"/>
  <c r="M54" i="21"/>
  <c r="L140" i="21"/>
  <c r="L218" i="21" s="1"/>
  <c r="N52" i="21"/>
  <c r="N138" i="21" s="1"/>
  <c r="N216" i="21" s="1"/>
  <c r="M138" i="21"/>
  <c r="M216" i="21" s="1"/>
  <c r="M78" i="21"/>
  <c r="L166" i="21"/>
  <c r="L272" i="21" s="1"/>
  <c r="L142" i="21"/>
  <c r="L220" i="21" s="1"/>
  <c r="M56" i="21"/>
  <c r="N79" i="21"/>
  <c r="N167" i="21" s="1"/>
  <c r="N273" i="21" s="1"/>
  <c r="M167" i="21"/>
  <c r="M273" i="21" s="1"/>
  <c r="M103" i="21"/>
  <c r="M253" i="21" s="1"/>
  <c r="N21" i="21"/>
  <c r="N103" i="21" s="1"/>
  <c r="N253" i="21" s="1"/>
  <c r="M251" i="21"/>
  <c r="K252" i="21"/>
  <c r="K189" i="21"/>
  <c r="M58" i="21"/>
  <c r="L144" i="21"/>
  <c r="L222" i="21" s="1"/>
  <c r="M145" i="21"/>
  <c r="M223" i="21" s="1"/>
  <c r="N59" i="21"/>
  <c r="N145" i="21" s="1"/>
  <c r="N223" i="21" s="1"/>
  <c r="M57" i="21"/>
  <c r="L143" i="21"/>
  <c r="L221" i="21" s="1"/>
  <c r="N82" i="21"/>
  <c r="N170" i="21" s="1"/>
  <c r="M170" i="21"/>
  <c r="M72" i="21"/>
  <c r="L160" i="21"/>
  <c r="L268" i="21" s="1"/>
  <c r="M55" i="21"/>
  <c r="L141" i="21"/>
  <c r="L219" i="21" s="1"/>
  <c r="L158" i="21"/>
  <c r="L266" i="21" s="1"/>
  <c r="M69" i="21"/>
  <c r="N63" i="21"/>
  <c r="N150" i="21" s="1"/>
  <c r="N226" i="21" s="1"/>
  <c r="M150" i="21"/>
  <c r="M226" i="21" s="1"/>
  <c r="L247" i="21"/>
  <c r="L195" i="21" s="1"/>
  <c r="L196" i="21" s="1"/>
  <c r="L302" i="21" s="1"/>
  <c r="L102" i="21"/>
  <c r="M20" i="21"/>
  <c r="L164" i="21"/>
  <c r="M76" i="21"/>
  <c r="M65" i="21"/>
  <c r="L154" i="21"/>
  <c r="L241" i="21"/>
  <c r="L256" i="21" s="1"/>
  <c r="K128" i="21"/>
  <c r="M67" i="21"/>
  <c r="L156" i="21"/>
  <c r="L264" i="21" s="1"/>
  <c r="K286" i="21"/>
  <c r="K191" i="21"/>
  <c r="N101" i="21"/>
  <c r="N25" i="21"/>
  <c r="N246" i="21" s="1"/>
  <c r="M70" i="21"/>
  <c r="L159" i="21"/>
  <c r="K267" i="21"/>
  <c r="I182" i="21"/>
  <c r="J274" i="21"/>
  <c r="J278" i="21" s="1"/>
  <c r="K269" i="21"/>
  <c r="K270" i="21"/>
  <c r="J231" i="21"/>
  <c r="J230" i="21"/>
  <c r="K233" i="21"/>
  <c r="H302" i="21"/>
  <c r="H202" i="21"/>
  <c r="H204" i="21" s="1"/>
  <c r="K276" i="21" l="1"/>
  <c r="J279" i="21"/>
  <c r="J113" i="21" s="1"/>
  <c r="J117" i="21" s="1"/>
  <c r="K213" i="21"/>
  <c r="K93" i="21"/>
  <c r="K212" i="21"/>
  <c r="K92" i="21"/>
  <c r="K232" i="21"/>
  <c r="J105" i="21"/>
  <c r="J109" i="21" s="1"/>
  <c r="J110" i="21" s="1"/>
  <c r="I188" i="21"/>
  <c r="I193" i="21" s="1"/>
  <c r="I202" i="21" s="1"/>
  <c r="I204" i="21" s="1"/>
  <c r="J137" i="21"/>
  <c r="L130" i="21"/>
  <c r="L106" i="21"/>
  <c r="L161" i="21"/>
  <c r="L228" i="21" s="1"/>
  <c r="J211" i="21"/>
  <c r="J282" i="21" s="1"/>
  <c r="K96" i="21"/>
  <c r="K136" i="21"/>
  <c r="K215" i="21" s="1"/>
  <c r="L99" i="21"/>
  <c r="L134" i="21"/>
  <c r="L139" i="21"/>
  <c r="L217" i="21" s="1"/>
  <c r="L95" i="21"/>
  <c r="L98" i="21"/>
  <c r="K162" i="21"/>
  <c r="K229" i="21" s="1"/>
  <c r="L97" i="21"/>
  <c r="L132" i="21" s="1"/>
  <c r="L105" i="21" s="1"/>
  <c r="L108" i="21"/>
  <c r="L135" i="21"/>
  <c r="L214" i="21" s="1"/>
  <c r="L100" i="21"/>
  <c r="L271" i="21" s="1"/>
  <c r="L107" i="21"/>
  <c r="M91" i="21"/>
  <c r="M298" i="21" s="1"/>
  <c r="L133" i="21"/>
  <c r="L92" i="21" s="1"/>
  <c r="K217" i="21"/>
  <c r="M258" i="21"/>
  <c r="N243" i="21" s="1"/>
  <c r="N258" i="21" s="1"/>
  <c r="N130" i="21" s="1"/>
  <c r="K104" i="21"/>
  <c r="K109" i="21" s="1"/>
  <c r="L286" i="21"/>
  <c r="L191" i="21"/>
  <c r="M247" i="21"/>
  <c r="M195" i="21" s="1"/>
  <c r="M196" i="21" s="1"/>
  <c r="M302" i="21" s="1"/>
  <c r="M102" i="21"/>
  <c r="N20" i="21"/>
  <c r="N55" i="21"/>
  <c r="N141" i="21" s="1"/>
  <c r="N219" i="21" s="1"/>
  <c r="M141" i="21"/>
  <c r="M219" i="21" s="1"/>
  <c r="N56" i="21"/>
  <c r="N142" i="21" s="1"/>
  <c r="N220" i="21" s="1"/>
  <c r="M142" i="21"/>
  <c r="M220" i="21" s="1"/>
  <c r="N78" i="21"/>
  <c r="N166" i="21" s="1"/>
  <c r="N272" i="21" s="1"/>
  <c r="M166" i="21"/>
  <c r="M272" i="21" s="1"/>
  <c r="M140" i="21"/>
  <c r="M218" i="21" s="1"/>
  <c r="N54" i="21"/>
  <c r="N140" i="21" s="1"/>
  <c r="N218" i="21" s="1"/>
  <c r="L128" i="21"/>
  <c r="M241" i="21"/>
  <c r="M256" i="21" s="1"/>
  <c r="N251" i="21"/>
  <c r="M156" i="21"/>
  <c r="M264" i="21" s="1"/>
  <c r="N67" i="21"/>
  <c r="N156" i="21" s="1"/>
  <c r="N264" i="21" s="1"/>
  <c r="N65" i="21"/>
  <c r="N154" i="21" s="1"/>
  <c r="M154" i="21"/>
  <c r="L252" i="21"/>
  <c r="L189" i="21"/>
  <c r="N69" i="21"/>
  <c r="N158" i="21" s="1"/>
  <c r="N266" i="21" s="1"/>
  <c r="M158" i="21"/>
  <c r="M266" i="21" s="1"/>
  <c r="K257" i="21"/>
  <c r="N76" i="21"/>
  <c r="N164" i="21" s="1"/>
  <c r="M164" i="21"/>
  <c r="N72" i="21"/>
  <c r="N160" i="21" s="1"/>
  <c r="N268" i="21" s="1"/>
  <c r="M160" i="21"/>
  <c r="M268" i="21" s="1"/>
  <c r="M143" i="21"/>
  <c r="M221" i="21" s="1"/>
  <c r="N57" i="21"/>
  <c r="N143" i="21" s="1"/>
  <c r="N221" i="21" s="1"/>
  <c r="M144" i="21"/>
  <c r="M222" i="21" s="1"/>
  <c r="N58" i="21"/>
  <c r="N144" i="21" s="1"/>
  <c r="N222" i="21" s="1"/>
  <c r="L267" i="21"/>
  <c r="N70" i="21"/>
  <c r="N159" i="21" s="1"/>
  <c r="M159" i="21"/>
  <c r="K274" i="21"/>
  <c r="K278" i="21" s="1"/>
  <c r="K277" i="21" s="1"/>
  <c r="K198" i="21" s="1"/>
  <c r="J118" i="21"/>
  <c r="J122" i="21"/>
  <c r="J299" i="21" s="1"/>
  <c r="J277" i="21"/>
  <c r="J198" i="21" s="1"/>
  <c r="J200" i="21" s="1"/>
  <c r="J303" i="21" s="1"/>
  <c r="J283" i="21"/>
  <c r="L270" i="21"/>
  <c r="L136" i="21"/>
  <c r="L215" i="21" s="1"/>
  <c r="L232" i="21"/>
  <c r="K211" i="21"/>
  <c r="L269" i="21"/>
  <c r="L233" i="21"/>
  <c r="K231" i="21"/>
  <c r="K230" i="21"/>
  <c r="K279" i="21" l="1"/>
  <c r="K113" i="21" s="1"/>
  <c r="K117" i="21" s="1"/>
  <c r="L213" i="21"/>
  <c r="L93" i="21"/>
  <c r="J235" i="21"/>
  <c r="J236" i="21" s="1"/>
  <c r="J192" i="21" s="1"/>
  <c r="L104" i="21"/>
  <c r="L109" i="21" s="1"/>
  <c r="N91" i="21"/>
  <c r="N298" i="21" s="1"/>
  <c r="K110" i="21"/>
  <c r="K118" i="21" s="1"/>
  <c r="K137" i="21"/>
  <c r="L212" i="21"/>
  <c r="M99" i="21"/>
  <c r="L162" i="21"/>
  <c r="L229" i="21" s="1"/>
  <c r="M108" i="21"/>
  <c r="M97" i="21"/>
  <c r="M136" i="21" s="1"/>
  <c r="M215" i="21" s="1"/>
  <c r="M134" i="21"/>
  <c r="M93" i="21" s="1"/>
  <c r="L147" i="21"/>
  <c r="M130" i="21"/>
  <c r="M98" i="21"/>
  <c r="M133" i="21"/>
  <c r="L96" i="21"/>
  <c r="M106" i="21"/>
  <c r="M100" i="21"/>
  <c r="M271" i="21" s="1"/>
  <c r="M161" i="21"/>
  <c r="M228" i="21" s="1"/>
  <c r="M95" i="21"/>
  <c r="M107" i="21"/>
  <c r="M135" i="21"/>
  <c r="M214" i="21" s="1"/>
  <c r="M139" i="21"/>
  <c r="M217" i="21" s="1"/>
  <c r="L242" i="21"/>
  <c r="L257" i="21" s="1"/>
  <c r="K129" i="21"/>
  <c r="K131" i="21" s="1"/>
  <c r="M128" i="21"/>
  <c r="N241" i="21"/>
  <c r="N256" i="21" s="1"/>
  <c r="N128" i="21" s="1"/>
  <c r="M286" i="21"/>
  <c r="M191" i="21"/>
  <c r="N191" i="21"/>
  <c r="N286" i="21"/>
  <c r="N102" i="21"/>
  <c r="N247" i="21"/>
  <c r="N195" i="21" s="1"/>
  <c r="N196" i="21" s="1"/>
  <c r="N302" i="21" s="1"/>
  <c r="M252" i="21"/>
  <c r="M189" i="21"/>
  <c r="M267" i="21"/>
  <c r="N267" i="21"/>
  <c r="L137" i="21"/>
  <c r="L274" i="21"/>
  <c r="L278" i="21" s="1"/>
  <c r="M276" i="21" s="1"/>
  <c r="L276" i="21"/>
  <c r="L279" i="21" s="1"/>
  <c r="L113" i="21" s="1"/>
  <c r="L117" i="21" s="1"/>
  <c r="M269" i="21"/>
  <c r="J284" i="21"/>
  <c r="M233" i="21"/>
  <c r="K283" i="21"/>
  <c r="L231" i="21"/>
  <c r="L230" i="21"/>
  <c r="M270" i="21"/>
  <c r="K282" i="21"/>
  <c r="K235" i="21"/>
  <c r="K236" i="21" s="1"/>
  <c r="K192" i="21" s="1"/>
  <c r="L211" i="21"/>
  <c r="M232" i="21"/>
  <c r="J172" i="21"/>
  <c r="M212" i="21" l="1"/>
  <c r="M92" i="21"/>
  <c r="N99" i="21"/>
  <c r="N108" i="21"/>
  <c r="N97" i="21"/>
  <c r="N132" i="21" s="1"/>
  <c r="N135" i="21"/>
  <c r="N214" i="21" s="1"/>
  <c r="N106" i="21"/>
  <c r="N98" i="21"/>
  <c r="N100" i="21"/>
  <c r="N271" i="21" s="1"/>
  <c r="N161" i="21"/>
  <c r="N228" i="21" s="1"/>
  <c r="M213" i="21"/>
  <c r="N133" i="21"/>
  <c r="N107" i="21"/>
  <c r="N95" i="21"/>
  <c r="N134" i="21"/>
  <c r="M132" i="21"/>
  <c r="N139" i="21"/>
  <c r="N147" i="21" s="1"/>
  <c r="K122" i="21"/>
  <c r="K299" i="21" s="1"/>
  <c r="M96" i="21"/>
  <c r="M162" i="21"/>
  <c r="M229" i="21" s="1"/>
  <c r="L110" i="21"/>
  <c r="L122" i="21" s="1"/>
  <c r="L299" i="21" s="1"/>
  <c r="M104" i="21"/>
  <c r="M147" i="21"/>
  <c r="N252" i="21"/>
  <c r="N189" i="21"/>
  <c r="L129" i="21"/>
  <c r="L131" i="21" s="1"/>
  <c r="M242" i="21"/>
  <c r="M257" i="21" s="1"/>
  <c r="M137" i="21"/>
  <c r="M274" i="21"/>
  <c r="M278" i="21" s="1"/>
  <c r="L277" i="21"/>
  <c r="L198" i="21" s="1"/>
  <c r="N233" i="21"/>
  <c r="N269" i="21"/>
  <c r="K284" i="21"/>
  <c r="N270" i="21"/>
  <c r="L283" i="21"/>
  <c r="L282" i="21"/>
  <c r="L235" i="21"/>
  <c r="L236" i="21" s="1"/>
  <c r="L192" i="21" s="1"/>
  <c r="M231" i="21"/>
  <c r="M230" i="21"/>
  <c r="K172" i="21"/>
  <c r="N276" i="21" l="1"/>
  <c r="M279" i="21"/>
  <c r="M113" i="21" s="1"/>
  <c r="M117" i="21" s="1"/>
  <c r="M211" i="21"/>
  <c r="M105" i="21"/>
  <c r="M109" i="21" s="1"/>
  <c r="N213" i="21"/>
  <c r="N93" i="21"/>
  <c r="N212" i="21"/>
  <c r="N92" i="21"/>
  <c r="N105" i="21"/>
  <c r="L118" i="21"/>
  <c r="N162" i="21"/>
  <c r="N229" i="21" s="1"/>
  <c r="N136" i="21"/>
  <c r="N215" i="21" s="1"/>
  <c r="N232" i="21"/>
  <c r="N217" i="21"/>
  <c r="N96" i="21"/>
  <c r="N104" i="21"/>
  <c r="M110" i="21"/>
  <c r="M118" i="21" s="1"/>
  <c r="N242" i="21"/>
  <c r="N257" i="21" s="1"/>
  <c r="N129" i="21" s="1"/>
  <c r="N131" i="21" s="1"/>
  <c r="M129" i="21"/>
  <c r="M131" i="21" s="1"/>
  <c r="N211" i="21"/>
  <c r="M277" i="21"/>
  <c r="M198" i="21" s="1"/>
  <c r="N274" i="21"/>
  <c r="N278" i="21" s="1"/>
  <c r="N277" i="21" s="1"/>
  <c r="N198" i="21" s="1"/>
  <c r="M283" i="21"/>
  <c r="M282" i="21"/>
  <c r="M235" i="21"/>
  <c r="M236" i="21" s="1"/>
  <c r="M192" i="21" s="1"/>
  <c r="L284" i="21"/>
  <c r="N231" i="21"/>
  <c r="N230" i="21"/>
  <c r="L172" i="21"/>
  <c r="N279" i="21" l="1"/>
  <c r="N113" i="21" s="1"/>
  <c r="N117" i="21" s="1"/>
  <c r="N109" i="21"/>
  <c r="N110" i="21" s="1"/>
  <c r="N118" i="21" s="1"/>
  <c r="N137" i="21"/>
  <c r="M122" i="21"/>
  <c r="M299" i="21" s="1"/>
  <c r="N282" i="21"/>
  <c r="M284" i="21"/>
  <c r="N235" i="21"/>
  <c r="N236" i="21" s="1"/>
  <c r="N192" i="21" s="1"/>
  <c r="N283" i="21"/>
  <c r="M172" i="21"/>
  <c r="J2" i="21"/>
  <c r="N122" i="21" l="1"/>
  <c r="N299" i="21" s="1"/>
  <c r="N284" i="21"/>
  <c r="N172" i="21"/>
  <c r="E179" i="21"/>
  <c r="E181" i="21" s="1"/>
  <c r="E3" i="21" s="1"/>
  <c r="K2" i="21"/>
  <c r="L2" i="21" s="1"/>
  <c r="M2" i="21" s="1"/>
  <c r="N2" i="21" s="1"/>
  <c r="G3" i="21"/>
  <c r="H3" i="21"/>
  <c r="F3" i="21"/>
  <c r="I3" i="21"/>
  <c r="J186" i="21" l="1"/>
  <c r="I207" i="21"/>
  <c r="I301" i="21"/>
  <c r="K119" i="21" l="1"/>
  <c r="K120" i="21" s="1"/>
  <c r="L119" i="21"/>
  <c r="L120" i="21" s="1"/>
  <c r="L177" i="21" s="1"/>
  <c r="M119" i="21"/>
  <c r="M120" i="21" s="1"/>
  <c r="J119" i="21"/>
  <c r="J120" i="21" s="1"/>
  <c r="J177" i="21" s="1"/>
  <c r="N119" i="21"/>
  <c r="N120" i="21" s="1"/>
  <c r="N177" i="21" l="1"/>
  <c r="N182" i="21" s="1"/>
  <c r="K188" i="21"/>
  <c r="K193" i="21" s="1"/>
  <c r="K301" i="21" s="1"/>
  <c r="K177" i="21"/>
  <c r="K182" i="21" s="1"/>
  <c r="K176" i="21"/>
  <c r="K199" i="21" s="1"/>
  <c r="K200" i="21" s="1"/>
  <c r="K303" i="21" s="1"/>
  <c r="J178" i="21"/>
  <c r="M188" i="21"/>
  <c r="M193" i="21" s="1"/>
  <c r="M177" i="21"/>
  <c r="M182" i="21" s="1"/>
  <c r="J188" i="21"/>
  <c r="J193" i="21" s="1"/>
  <c r="J182" i="21"/>
  <c r="L182" i="21"/>
  <c r="L188" i="21"/>
  <c r="L193" i="21" s="1"/>
  <c r="N188" i="21"/>
  <c r="N193" i="21" s="1"/>
  <c r="K202" i="21" l="1"/>
  <c r="M301" i="21"/>
  <c r="J179" i="21"/>
  <c r="J291" i="21"/>
  <c r="L176" i="21"/>
  <c r="L199" i="21" s="1"/>
  <c r="L200" i="21" s="1"/>
  <c r="L303" i="21" s="1"/>
  <c r="K178" i="21"/>
  <c r="L301" i="21"/>
  <c r="N301" i="21"/>
  <c r="J202" i="21"/>
  <c r="J301" i="21"/>
  <c r="J204" i="21" l="1"/>
  <c r="J149" i="21" s="1"/>
  <c r="L202" i="21"/>
  <c r="K179" i="21"/>
  <c r="K291" i="21"/>
  <c r="M176" i="21"/>
  <c r="M199" i="21" s="1"/>
  <c r="M200" i="21" s="1"/>
  <c r="L178" i="21"/>
  <c r="K186" i="21" l="1"/>
  <c r="K204" i="21" s="1"/>
  <c r="K149" i="21" s="1"/>
  <c r="J290" i="21"/>
  <c r="J293" i="21" s="1"/>
  <c r="M303" i="21"/>
  <c r="M202" i="21"/>
  <c r="N176" i="21"/>
  <c r="M178" i="21"/>
  <c r="L179" i="21"/>
  <c r="L291" i="21"/>
  <c r="K290" i="21" l="1"/>
  <c r="K293" i="21" s="1"/>
  <c r="L186" i="21"/>
  <c r="N178" i="21"/>
  <c r="N291" i="21" s="1"/>
  <c r="N199" i="21"/>
  <c r="N200" i="21" s="1"/>
  <c r="M291" i="21"/>
  <c r="M179" i="21"/>
  <c r="L204" i="21" l="1"/>
  <c r="M186" i="21" s="1"/>
  <c r="N179" i="21"/>
  <c r="N303" i="21"/>
  <c r="N202" i="21"/>
  <c r="L149" i="21" l="1"/>
  <c r="L290" i="21" s="1"/>
  <c r="L293" i="21" s="1"/>
  <c r="M204" i="21"/>
  <c r="N186" i="21" s="1"/>
  <c r="N204" i="21" s="1"/>
  <c r="N149" i="21" s="1"/>
  <c r="M149" i="21" l="1"/>
  <c r="N290" i="21"/>
  <c r="N293" i="21" s="1"/>
  <c r="K127" i="21"/>
  <c r="K151" i="21" s="1"/>
  <c r="L127" i="21"/>
  <c r="L151" i="21" s="1"/>
  <c r="M127" i="21"/>
  <c r="J127" i="21"/>
  <c r="J151" i="21" s="1"/>
  <c r="N127" i="21"/>
  <c r="N151" i="21" s="1"/>
  <c r="M290" i="21" l="1"/>
  <c r="M293" i="21" s="1"/>
  <c r="M151" i="21"/>
  <c r="M181" i="21" s="1"/>
  <c r="M3" i="21" s="1"/>
  <c r="K181" i="21"/>
  <c r="K3" i="21" s="1"/>
  <c r="N181" i="21"/>
  <c r="N3" i="21" s="1"/>
  <c r="J181" i="21"/>
  <c r="J3" i="21" s="1"/>
  <c r="L181" i="21"/>
  <c r="L3" i="21" s="1"/>
</calcChain>
</file>

<file path=xl/sharedStrings.xml><?xml version="1.0" encoding="utf-8"?>
<sst xmlns="http://schemas.openxmlformats.org/spreadsheetml/2006/main" count="263" uniqueCount="167">
  <si>
    <t>one-startup.it</t>
  </si>
  <si>
    <t>Storico</t>
  </si>
  <si>
    <t>Previsionale</t>
  </si>
  <si>
    <t>Esempio di Financial Business Plan</t>
  </si>
  <si>
    <t>Controllo</t>
  </si>
  <si>
    <t>Ipotesi - Il piano viene sviluppato a partire dai principali indici di bilancio</t>
  </si>
  <si>
    <t>INDICI CHE SVILUPPANO IL PIANO: VARIARE SOLO I VALORI IN COLORE</t>
  </si>
  <si>
    <t>AZZURRO</t>
  </si>
  <si>
    <t>A.1 - Incremento ricavi</t>
  </si>
  <si>
    <t>A.2 - Variazioni delle rimanenze di prodotti in corso di lavorazione, semilavorati e finiti - giorni</t>
  </si>
  <si>
    <t>Calcolo</t>
  </si>
  <si>
    <t>A.3 - Variazioni dei lavori in corso su ordinazione - giorni</t>
  </si>
  <si>
    <t>A.4 - Incrementi di immobilizzazioni per lavori interni giorni</t>
  </si>
  <si>
    <t>A.5 - Altri ricavi e proventi (% ricavi)</t>
  </si>
  <si>
    <t>B.6 - Costi per materie prime, sussidiarie, di consumo e di merci (% ricavi)</t>
  </si>
  <si>
    <t>B.7 - Costi per servizi (% ricavi)</t>
  </si>
  <si>
    <t>B.8 - Costi per godimento di beni di terzi (% ricavi)</t>
  </si>
  <si>
    <t>B.9 - Costi per il personale (% ricavi)</t>
  </si>
  <si>
    <t>B.10.a - Ammortamento delle immobilizzazioni immateriali</t>
  </si>
  <si>
    <t>B.10.b - Ammortamento delle immobilizzazioni materiali</t>
  </si>
  <si>
    <t>B.10.c - Svalutazioni delle immobilizzazioni</t>
  </si>
  <si>
    <t>B.10.d - Svalutazioni dei crediti compresi nell'attivo circolante e delle disponibilità  liquide</t>
  </si>
  <si>
    <t>Capex</t>
  </si>
  <si>
    <t>B.I - Immobilizzazioni immateriali</t>
  </si>
  <si>
    <t>B.II - Immobilizzazioni materiali</t>
  </si>
  <si>
    <t>B.III - Immobilizzazioni finanziarie</t>
  </si>
  <si>
    <t>B.11 - Variazioni delle rimanenze di materie prime, sussidiarie, di consumo e merci giorni</t>
  </si>
  <si>
    <t>B.12 - Accantonamenti per rischi (% ricavi)</t>
  </si>
  <si>
    <t>B.13 - Altri accantonamenti (% ricavi)</t>
  </si>
  <si>
    <t>B.14 - Oneri diversi di gestione (% ricavi)</t>
  </si>
  <si>
    <t>C.15 - Proventi da partecipazioni</t>
  </si>
  <si>
    <t>C.16 - Altri proventi finanziari</t>
  </si>
  <si>
    <t xml:space="preserve">C.17 - Interessi e altri oneri finanziari - Interessi / debito </t>
  </si>
  <si>
    <t>C.17-bis - Utili e perdite su cambi</t>
  </si>
  <si>
    <t>D.18 - Rivalutazioni</t>
  </si>
  <si>
    <t>D.19 - Svalutazioni</t>
  </si>
  <si>
    <t>20 - Imposte sul reddito dell'esercizio, correnti, differite e anticipate (% ante imposte)</t>
  </si>
  <si>
    <t>A - Totale crediti verso soci per versamenti ancora dovuti</t>
  </si>
  <si>
    <t>C.I.1 - Rimanenze, materie prime, sussidiarie e di consumo (giorni su costi)</t>
  </si>
  <si>
    <t>C.I.2 - Rimanenze, prodotti in corso di lavorazione e semilavorati (giorni su ricavi)</t>
  </si>
  <si>
    <t>C.I.3 - Rimanenze, lavori in corso su ordinazione (giorni su ricavi)</t>
  </si>
  <si>
    <t>C.I.4 - Rimanenze, prodotti finiti e merci  (giorni su ricavi)</t>
  </si>
  <si>
    <t>C.I.5 - Rimanenze, acconti (giorni su costi)</t>
  </si>
  <si>
    <t>C - Immobilizzazioni materiali destinate alla vendita</t>
  </si>
  <si>
    <t>C.II.1 - Crediti verso clienti (giorni)</t>
  </si>
  <si>
    <t>C.II.2 - Crediti verso imprese controllate</t>
  </si>
  <si>
    <t>C.II.3 - Crediti verso imprese collegate</t>
  </si>
  <si>
    <t>C.II.4 - Crediti verso controllanti</t>
  </si>
  <si>
    <t>C.II.5 - Crediti verso imprese sottoposte al controllo delle controllanti</t>
  </si>
  <si>
    <t>C.II.5-bis - Crediti tributari</t>
  </si>
  <si>
    <t>C.II.5-ter - Imposte anticipate</t>
  </si>
  <si>
    <t>C.II.5-quater - Crediti verso altri</t>
  </si>
  <si>
    <t>C.III - Attività  finanziarie che non costituiscono immobilizzazioni</t>
  </si>
  <si>
    <t>C.IV - Disponibilità  liquide</t>
  </si>
  <si>
    <t>D - Ratei e risconti (giorni sui servizi)</t>
  </si>
  <si>
    <t>B - Totale fondi per rischi ed oneri</t>
  </si>
  <si>
    <t>C - Trattamento di fine rapporto di lavoro subordinato</t>
  </si>
  <si>
    <t>D.1 - Obbligazioni</t>
  </si>
  <si>
    <t>D.2 - Obbligazioni convertibili</t>
  </si>
  <si>
    <t>D.3 - Debiti verso soci per finanziamenti</t>
  </si>
  <si>
    <t>D.4 - Debiti verso banche</t>
  </si>
  <si>
    <t>Incremento (decremento) debiti verso banche</t>
  </si>
  <si>
    <t>D.5 - Debiti verso altri finanziatori</t>
  </si>
  <si>
    <t>D.6 - Acconti (giorni su ricavi)</t>
  </si>
  <si>
    <t>D.7 - Debiti verso fornitori (giorni su materie e servizi)</t>
  </si>
  <si>
    <t>D.8 - Debiti rappresentati da titoli di credito</t>
  </si>
  <si>
    <t>D.9 - Debiti verso imprese controllate</t>
  </si>
  <si>
    <t>D.10 - Debiti verso imprese collegate</t>
  </si>
  <si>
    <t>D.11 - Debiti verso controllanti</t>
  </si>
  <si>
    <t>D.11-bis - Debiti verso imprese sottoposte al controllo delle controllanti</t>
  </si>
  <si>
    <t>D.12 - Debiti tributari</t>
  </si>
  <si>
    <t>D.13 - Debiti verso istituti di previdenza e di sicurezza sociale</t>
  </si>
  <si>
    <t>D.14 - Altri debiti</t>
  </si>
  <si>
    <t>E - Ratei e risconti</t>
  </si>
  <si>
    <t>Capitale sociale (variaizoni)</t>
  </si>
  <si>
    <t>Riserve (variazioni)</t>
  </si>
  <si>
    <t>Conto economico</t>
  </si>
  <si>
    <t>A.1 - Ricavi delle vendite e delle prestazioni</t>
  </si>
  <si>
    <t>A.2 - Variazioni delle rimanenze di prodotti in corso di lavorazione, semilavorati e finiti</t>
  </si>
  <si>
    <t>A.3 - Variazioni dei lavori in corso su ordinazione</t>
  </si>
  <si>
    <t>A.4 - Incrementi di immobilizzazioni per lavori interni</t>
  </si>
  <si>
    <t>A.5 - Altri ricavi e proventi</t>
  </si>
  <si>
    <t>Totale valore della produzione</t>
  </si>
  <si>
    <t>B.6 - Costi per materie prime, sussidiarie, di consumo e di merci</t>
  </si>
  <si>
    <t>B.7 - Costi per servizi</t>
  </si>
  <si>
    <t>B.8 - Costi per godimento di beni di terzi</t>
  </si>
  <si>
    <t>B.9 - Costi per il personale</t>
  </si>
  <si>
    <t>10a</t>
  </si>
  <si>
    <t>10b</t>
  </si>
  <si>
    <t>10c</t>
  </si>
  <si>
    <t>10d</t>
  </si>
  <si>
    <t>B.11 - Variazioni delle rimanenze di materie prime, sussidiarie, di consumo e merci</t>
  </si>
  <si>
    <t>B.12 - Accantonamenti per rischi</t>
  </si>
  <si>
    <t>B.13 - Altri accantonamenti</t>
  </si>
  <si>
    <t>B.14 - Oneri diversi di gestione</t>
  </si>
  <si>
    <t>Totale costi della produzione</t>
  </si>
  <si>
    <t>A-B</t>
  </si>
  <si>
    <t>C.17 - Interessi e altri oneri finanziari</t>
  </si>
  <si>
    <t>17b</t>
  </si>
  <si>
    <t>Risultato gestione finanziaria</t>
  </si>
  <si>
    <t>Utile (perdita) ante imposte</t>
  </si>
  <si>
    <t>20 - Imposte sul reddito dell'esercizio, correnti, differite e anticipate</t>
  </si>
  <si>
    <t>Utile (perdita) dell'esercizio</t>
  </si>
  <si>
    <t>EBITDA</t>
  </si>
  <si>
    <t>Stato patrimoniale</t>
  </si>
  <si>
    <t>Attività</t>
  </si>
  <si>
    <t>B - Totale Immobilizzazioni</t>
  </si>
  <si>
    <t>C.I.1 - Rimanenze, materie prime, sussidiarie e di consumo</t>
  </si>
  <si>
    <t>C.I.2 - Rimanenze, prodotti in corso di lavorazione e semilavorati</t>
  </si>
  <si>
    <t>C.I.3 - Rimanenze, lavori in corso su ordinazione</t>
  </si>
  <si>
    <t>C.I.4 - Rimanenze, prodotti finiti e merci</t>
  </si>
  <si>
    <t>C.I.5 - Rimanenze, acconti</t>
  </si>
  <si>
    <t>C.I - Totale Rimanenze</t>
  </si>
  <si>
    <t>C.II.1 - Crediti verso clienti</t>
  </si>
  <si>
    <t>C.II - Totale Crediti</t>
  </si>
  <si>
    <t>D - Ratei e risconti</t>
  </si>
  <si>
    <t>Totale attività</t>
  </si>
  <si>
    <t>Passività</t>
  </si>
  <si>
    <t>D.6 - Acconti</t>
  </si>
  <si>
    <t>D.7 - Debiti verso fornitori</t>
  </si>
  <si>
    <t>241b</t>
  </si>
  <si>
    <t>Totale passività</t>
  </si>
  <si>
    <t>Patrimonio netto</t>
  </si>
  <si>
    <t>Capitale sociale</t>
  </si>
  <si>
    <t>Riserve</t>
  </si>
  <si>
    <t>Utile (perdita) d'esercizio</t>
  </si>
  <si>
    <t>Totale patrimonio netto</t>
  </si>
  <si>
    <t>Totale Passività &amp; Patrimonio netto</t>
  </si>
  <si>
    <t>Check</t>
  </si>
  <si>
    <t>Rendiconto finanziario</t>
  </si>
  <si>
    <t>Saldo di apertura</t>
  </si>
  <si>
    <t>Utile netto</t>
  </si>
  <si>
    <t>Ammortamenti</t>
  </si>
  <si>
    <t>Incremento (decremento) TFR</t>
  </si>
  <si>
    <t>Incremento (decremento) fondi</t>
  </si>
  <si>
    <t>Meno: variazioni di CCN</t>
  </si>
  <si>
    <t>Flusso di cassa operativo</t>
  </si>
  <si>
    <t>Investimenti (disinvestimenti)</t>
  </si>
  <si>
    <t>Flusso di cassa dagli investimenti</t>
  </si>
  <si>
    <t>Incremento (decremento) debiti</t>
  </si>
  <si>
    <t>Incremento (decremento) mezzi propri</t>
  </si>
  <si>
    <t>Flusso di cassa operazioni di finanziamento</t>
  </si>
  <si>
    <t>Flusso di cassa totale</t>
  </si>
  <si>
    <t>Saldo di chiusura</t>
  </si>
  <si>
    <t>Schede di supporto</t>
  </si>
  <si>
    <t>Attivo circolante</t>
  </si>
  <si>
    <t>Capitale Circolante Netto</t>
  </si>
  <si>
    <t>Variazione CCN</t>
  </si>
  <si>
    <t>Immobilizzazioni</t>
  </si>
  <si>
    <t>Apertura</t>
  </si>
  <si>
    <t>Ammortamenti e svalutazioni</t>
  </si>
  <si>
    <t>Chiusura</t>
  </si>
  <si>
    <t>Debiti</t>
  </si>
  <si>
    <t>Totale</t>
  </si>
  <si>
    <t>Incremento o rimborso</t>
  </si>
  <si>
    <t>Interesse</t>
  </si>
  <si>
    <t>Differenza</t>
  </si>
  <si>
    <t>Fondi rischi ed oneri</t>
  </si>
  <si>
    <t>Fondo TFR</t>
  </si>
  <si>
    <t>Liquidità cont</t>
  </si>
  <si>
    <t>Patrimonio netto cont</t>
  </si>
  <si>
    <t>Grafici e tabelle</t>
  </si>
  <si>
    <t>Fatturato</t>
  </si>
  <si>
    <t>EBITDA Margin (%)</t>
  </si>
  <si>
    <t>Flusso di Cassa Operativo</t>
  </si>
  <si>
    <t>Flusso di Cassa Investimenti</t>
  </si>
  <si>
    <t>Flusso di Cassa 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</si>
</sst>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(#,##0\)_-;_-* &quot;-&quot;_-;_-@_-"/>
    <numFmt numFmtId="166" formatCode="0.0000_ ;\-0.0000\ "/>
    <numFmt numFmtId="170" formatCode="[$-410]d\-mmm\-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0000FF"/>
      <name val="Arial Narrow"/>
      <family val="2"/>
    </font>
    <font>
      <sz val="12"/>
      <color rgb="FF0000FF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  <font>
      <sz val="8"/>
      <color theme="0"/>
      <name val="Arial Narrow"/>
      <family val="2"/>
    </font>
    <font>
      <b/>
      <sz val="12"/>
      <color theme="0"/>
      <name val="Arial Narrow"/>
      <family val="2"/>
    </font>
    <font>
      <b/>
      <sz val="16"/>
      <color theme="0"/>
      <name val="Arial Narrow"/>
      <family val="2"/>
    </font>
    <font>
      <u/>
      <sz val="10"/>
      <color theme="10"/>
      <name val="Arial"/>
      <family val="2"/>
    </font>
    <font>
      <sz val="11"/>
      <color theme="0"/>
      <name val="Arial Narrow"/>
      <family val="2"/>
    </font>
    <font>
      <b/>
      <sz val="12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99984740745262"/>
        <bgColor indexed="64"/>
      </patternFill>
    </fill>
    <fill>
      <patternFill patternType="solid">
        <fgColor theme="9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165" fontId="5" fillId="0" borderId="0" xfId="1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0" borderId="0" xfId="1" applyNumberFormat="1" applyFont="1" applyProtection="1">
      <protection locked="0"/>
    </xf>
    <xf numFmtId="165" fontId="5" fillId="0" borderId="0" xfId="1" applyNumberFormat="1" applyFont="1" applyProtection="1">
      <protection locked="0"/>
    </xf>
    <xf numFmtId="165" fontId="2" fillId="0" borderId="0" xfId="1" applyNumberFormat="1" applyFont="1" applyAlignment="1" applyProtection="1">
      <alignment horizontal="center"/>
      <protection locked="0"/>
    </xf>
    <xf numFmtId="165" fontId="9" fillId="0" borderId="0" xfId="1" applyNumberFormat="1" applyFont="1" applyProtection="1">
      <protection locked="0"/>
    </xf>
    <xf numFmtId="165" fontId="5" fillId="0" borderId="0" xfId="1" applyNumberFormat="1" applyFont="1" applyBorder="1" applyAlignment="1" applyProtection="1">
      <alignment horizontal="center"/>
      <protection locked="0"/>
    </xf>
    <xf numFmtId="165" fontId="3" fillId="0" borderId="0" xfId="1" applyNumberFormat="1" applyFont="1" applyAlignment="1" applyProtection="1">
      <protection locked="0"/>
    </xf>
    <xf numFmtId="165" fontId="6" fillId="0" borderId="0" xfId="1" applyNumberFormat="1" applyFont="1" applyAlignment="1" applyProtection="1">
      <alignment horizontal="right"/>
      <protection locked="0"/>
    </xf>
    <xf numFmtId="165" fontId="10" fillId="0" borderId="0" xfId="1" applyNumberFormat="1" applyFont="1" applyFill="1" applyProtection="1">
      <protection locked="0"/>
    </xf>
    <xf numFmtId="165" fontId="9" fillId="0" borderId="0" xfId="1" applyNumberFormat="1" applyFont="1" applyFill="1" applyProtection="1">
      <protection locked="0"/>
    </xf>
    <xf numFmtId="165" fontId="2" fillId="0" borderId="0" xfId="1" applyNumberFormat="1" applyFont="1" applyBorder="1" applyAlignment="1" applyProtection="1">
      <alignment horizontal="center"/>
      <protection locked="0"/>
    </xf>
    <xf numFmtId="165" fontId="5" fillId="0" borderId="0" xfId="1" applyNumberFormat="1" applyFont="1" applyBorder="1" applyProtection="1">
      <protection locked="0"/>
    </xf>
    <xf numFmtId="165" fontId="8" fillId="0" borderId="0" xfId="1" applyNumberFormat="1" applyFont="1" applyBorder="1" applyProtection="1">
      <protection locked="0"/>
    </xf>
    <xf numFmtId="165" fontId="7" fillId="0" borderId="0" xfId="1" applyNumberFormat="1" applyFont="1" applyBorder="1" applyProtection="1">
      <protection locked="0"/>
    </xf>
    <xf numFmtId="165" fontId="5" fillId="0" borderId="0" xfId="1" applyNumberFormat="1" applyFont="1" applyAlignment="1" applyProtection="1">
      <alignment horizontal="center"/>
      <protection locked="0"/>
    </xf>
    <xf numFmtId="165" fontId="8" fillId="0" borderId="0" xfId="1" applyNumberFormat="1" applyFont="1" applyProtection="1">
      <protection locked="0"/>
    </xf>
    <xf numFmtId="165" fontId="2" fillId="0" borderId="1" xfId="1" applyNumberFormat="1" applyFont="1" applyBorder="1" applyProtection="1">
      <protection locked="0"/>
    </xf>
    <xf numFmtId="165" fontId="2" fillId="0" borderId="1" xfId="1" applyNumberFormat="1" applyFont="1" applyBorder="1" applyAlignment="1" applyProtection="1">
      <alignment horizontal="center"/>
      <protection locked="0"/>
    </xf>
    <xf numFmtId="165" fontId="9" fillId="0" borderId="1" xfId="1" applyNumberFormat="1" applyFont="1" applyBorder="1" applyProtection="1">
      <protection locked="0"/>
    </xf>
    <xf numFmtId="165" fontId="5" fillId="0" borderId="3" xfId="1" applyNumberFormat="1" applyFont="1" applyBorder="1" applyProtection="1">
      <protection locked="0"/>
    </xf>
    <xf numFmtId="165" fontId="5" fillId="0" borderId="3" xfId="1" applyNumberFormat="1" applyFont="1" applyBorder="1" applyAlignment="1" applyProtection="1">
      <alignment horizontal="center"/>
      <protection locked="0"/>
    </xf>
    <xf numFmtId="165" fontId="7" fillId="0" borderId="3" xfId="1" applyNumberFormat="1" applyFont="1" applyBorder="1" applyProtection="1">
      <protection locked="0"/>
    </xf>
    <xf numFmtId="0" fontId="0" fillId="0" borderId="0" xfId="0" applyProtection="1">
      <protection locked="0"/>
    </xf>
    <xf numFmtId="165" fontId="5" fillId="0" borderId="2" xfId="1" applyNumberFormat="1" applyFont="1" applyBorder="1" applyProtection="1">
      <protection locked="0"/>
    </xf>
    <xf numFmtId="165" fontId="5" fillId="0" borderId="2" xfId="1" applyNumberFormat="1" applyFont="1" applyBorder="1" applyAlignment="1" applyProtection="1">
      <alignment horizontal="center"/>
      <protection locked="0"/>
    </xf>
    <xf numFmtId="165" fontId="7" fillId="0" borderId="2" xfId="1" applyNumberFormat="1" applyFont="1" applyBorder="1" applyProtection="1">
      <protection locked="0"/>
    </xf>
    <xf numFmtId="165" fontId="6" fillId="0" borderId="0" xfId="1" applyNumberFormat="1" applyFont="1" applyProtection="1">
      <protection locked="0"/>
    </xf>
    <xf numFmtId="166" fontId="6" fillId="0" borderId="0" xfId="1" applyNumberFormat="1" applyFont="1" applyProtection="1">
      <protection locked="0"/>
    </xf>
    <xf numFmtId="166" fontId="6" fillId="0" borderId="0" xfId="1" applyNumberFormat="1" applyFont="1" applyAlignment="1" applyProtection="1">
      <alignment horizontal="center"/>
      <protection locked="0"/>
    </xf>
    <xf numFmtId="165" fontId="10" fillId="0" borderId="0" xfId="1" applyNumberFormat="1" applyFont="1" applyBorder="1" applyProtection="1">
      <protection locked="0"/>
    </xf>
    <xf numFmtId="9" fontId="2" fillId="0" borderId="0" xfId="2" applyFont="1" applyProtection="1">
      <protection locked="0"/>
    </xf>
    <xf numFmtId="165" fontId="5" fillId="0" borderId="1" xfId="1" applyNumberFormat="1" applyFont="1" applyBorder="1" applyProtection="1">
      <protection locked="0"/>
    </xf>
    <xf numFmtId="165" fontId="8" fillId="0" borderId="3" xfId="1" applyNumberFormat="1" applyFont="1" applyBorder="1" applyProtection="1">
      <protection locked="0"/>
    </xf>
    <xf numFmtId="165" fontId="2" fillId="0" borderId="2" xfId="1" applyNumberFormat="1" applyFont="1" applyBorder="1" applyProtection="1">
      <protection locked="0"/>
    </xf>
    <xf numFmtId="165" fontId="2" fillId="0" borderId="2" xfId="1" applyNumberFormat="1" applyFont="1" applyBorder="1" applyAlignment="1" applyProtection="1">
      <alignment horizontal="center"/>
      <protection locked="0"/>
    </xf>
    <xf numFmtId="165" fontId="2" fillId="0" borderId="1" xfId="1" applyNumberFormat="1" applyFont="1" applyFill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5" fontId="2" fillId="0" borderId="3" xfId="1" applyNumberFormat="1" applyFont="1" applyBorder="1" applyAlignment="1" applyProtection="1">
      <alignment horizontal="center"/>
      <protection locked="0"/>
    </xf>
    <xf numFmtId="165" fontId="10" fillId="0" borderId="1" xfId="1" applyNumberFormat="1" applyFont="1" applyFill="1" applyBorder="1" applyProtection="1">
      <protection locked="0"/>
    </xf>
    <xf numFmtId="165" fontId="9" fillId="0" borderId="1" xfId="1" applyNumberFormat="1" applyFont="1" applyFill="1" applyBorder="1" applyProtection="1">
      <protection locked="0"/>
    </xf>
    <xf numFmtId="10" fontId="10" fillId="0" borderId="0" xfId="2" applyNumberFormat="1" applyFont="1" applyFill="1" applyProtection="1">
      <protection locked="0"/>
    </xf>
    <xf numFmtId="10" fontId="9" fillId="0" borderId="0" xfId="2" applyNumberFormat="1" applyFont="1" applyFill="1" applyProtection="1">
      <protection locked="0"/>
    </xf>
    <xf numFmtId="165" fontId="10" fillId="0" borderId="0" xfId="2" applyNumberFormat="1" applyFont="1" applyFill="1" applyProtection="1">
      <protection locked="0"/>
    </xf>
    <xf numFmtId="165" fontId="2" fillId="2" borderId="0" xfId="1" applyNumberFormat="1" applyFont="1" applyFill="1" applyProtection="1">
      <protection locked="0"/>
    </xf>
    <xf numFmtId="10" fontId="10" fillId="0" borderId="0" xfId="2" applyNumberFormat="1" applyFont="1" applyFill="1" applyAlignment="1" applyProtection="1">
      <alignment horizontal="right"/>
      <protection locked="0"/>
    </xf>
    <xf numFmtId="165" fontId="10" fillId="0" borderId="0" xfId="1" applyNumberFormat="1" applyFont="1" applyFill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5" fontId="5" fillId="0" borderId="4" xfId="1" applyNumberFormat="1" applyFont="1" applyBorder="1" applyProtection="1">
      <protection locked="0"/>
    </xf>
    <xf numFmtId="165" fontId="7" fillId="0" borderId="4" xfId="1" applyNumberFormat="1" applyFont="1" applyBorder="1" applyProtection="1">
      <protection locked="0"/>
    </xf>
    <xf numFmtId="165" fontId="5" fillId="0" borderId="4" xfId="1" applyNumberFormat="1" applyFont="1" applyBorder="1" applyAlignment="1" applyProtection="1">
      <alignment horizontal="center"/>
      <protection locked="0"/>
    </xf>
    <xf numFmtId="165" fontId="14" fillId="3" borderId="0" xfId="1" applyNumberFormat="1" applyFont="1" applyFill="1" applyBorder="1" applyProtection="1">
      <protection locked="0"/>
    </xf>
    <xf numFmtId="165" fontId="10" fillId="3" borderId="0" xfId="1" applyNumberFormat="1" applyFont="1" applyFill="1" applyBorder="1" applyProtection="1">
      <protection locked="0"/>
    </xf>
    <xf numFmtId="165" fontId="10" fillId="3" borderId="0" xfId="1" applyNumberFormat="1" applyFont="1" applyFill="1" applyBorder="1" applyAlignment="1" applyProtection="1">
      <alignment horizontal="center"/>
      <protection locked="0"/>
    </xf>
    <xf numFmtId="165" fontId="13" fillId="3" borderId="0" xfId="1" applyNumberFormat="1" applyFont="1" applyFill="1" applyAlignment="1" applyProtection="1">
      <alignment horizontal="centerContinuous"/>
      <protection locked="0"/>
    </xf>
    <xf numFmtId="165" fontId="11" fillId="3" borderId="0" xfId="1" applyNumberFormat="1" applyFont="1" applyFill="1" applyAlignment="1" applyProtection="1">
      <alignment horizontal="centerContinuous"/>
      <protection locked="0"/>
    </xf>
    <xf numFmtId="0" fontId="4" fillId="3" borderId="0" xfId="1" applyNumberFormat="1" applyFont="1" applyFill="1" applyAlignment="1" applyProtection="1">
      <protection locked="0"/>
    </xf>
    <xf numFmtId="165" fontId="16" fillId="4" borderId="0" xfId="1" applyNumberFormat="1" applyFont="1" applyFill="1" applyProtection="1">
      <protection locked="0"/>
    </xf>
    <xf numFmtId="170" fontId="16" fillId="4" borderId="0" xfId="1" applyNumberFormat="1" applyFont="1" applyFill="1" applyProtection="1">
      <protection locked="0"/>
    </xf>
    <xf numFmtId="165" fontId="2" fillId="4" borderId="0" xfId="1" applyNumberFormat="1" applyFont="1" applyFill="1" applyAlignment="1" applyProtection="1">
      <alignment horizontal="center"/>
      <protection locked="0"/>
    </xf>
    <xf numFmtId="165" fontId="13" fillId="4" borderId="0" xfId="1" applyNumberFormat="1" applyFont="1" applyFill="1" applyAlignment="1" applyProtection="1">
      <alignment horizontal="centerContinuous"/>
      <protection locked="0"/>
    </xf>
    <xf numFmtId="165" fontId="11" fillId="4" borderId="0" xfId="1" applyNumberFormat="1" applyFont="1" applyFill="1" applyAlignment="1" applyProtection="1">
      <alignment horizontal="centerContinuous"/>
      <protection locked="0"/>
    </xf>
    <xf numFmtId="165" fontId="14" fillId="4" borderId="0" xfId="1" applyNumberFormat="1" applyFont="1" applyFill="1" applyAlignment="1" applyProtection="1">
      <protection locked="0"/>
    </xf>
    <xf numFmtId="165" fontId="12" fillId="4" borderId="0" xfId="1" applyNumberFormat="1" applyFont="1" applyFill="1" applyProtection="1">
      <protection locked="0"/>
    </xf>
    <xf numFmtId="165" fontId="4" fillId="4" borderId="0" xfId="1" applyNumberFormat="1" applyFont="1" applyFill="1" applyAlignment="1" applyProtection="1">
      <alignment horizontal="center"/>
      <protection locked="0"/>
    </xf>
    <xf numFmtId="0" fontId="4" fillId="4" borderId="0" xfId="1" applyNumberFormat="1" applyFont="1" applyFill="1" applyAlignment="1" applyProtection="1">
      <protection locked="0"/>
    </xf>
    <xf numFmtId="165" fontId="17" fillId="0" borderId="1" xfId="1" applyNumberFormat="1" applyFont="1" applyBorder="1" applyProtection="1">
      <protection locked="0"/>
    </xf>
    <xf numFmtId="165" fontId="8" fillId="0" borderId="1" xfId="1" applyNumberFormat="1" applyFont="1" applyBorder="1" applyProtection="1">
      <protection locked="0"/>
    </xf>
  </cellXfs>
  <cellStyles count="7">
    <cellStyle name="Comma" xfId="1" builtinId="3"/>
    <cellStyle name="Hyperlink 2" xfId="4" xr:uid="{9949CB21-8991-4332-B17D-25E57734189E}"/>
    <cellStyle name="Hyperlink 2 2" xfId="5" xr:uid="{9DCE7E61-BB8C-472C-A8D2-5012314E3D26}"/>
    <cellStyle name="Normal" xfId="0" builtinId="0"/>
    <cellStyle name="Normal 2" xfId="3" xr:uid="{C5E7C5A7-F311-49AF-9DC3-6A574FF70AB9}"/>
    <cellStyle name="Normal 2 2" xfId="6" xr:uid="{CC06DF65-4D7F-447B-B98D-CA01764297CC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1E8496"/>
      <color rgb="FF676767"/>
      <color rgb="FFED942D"/>
      <color rgb="FFE6E7E8"/>
      <color rgb="FFFA621C"/>
      <color rgb="FF193E75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Fatturato &amp; EBITDA</a:t>
            </a:r>
            <a:r>
              <a:rPr lang="en-US" baseline="0"/>
              <a:t> Margin</a:t>
            </a:r>
            <a:endParaRPr lang="en-US"/>
          </a:p>
        </c:rich>
      </c:tx>
      <c:layout>
        <c:manualLayout>
          <c:xMode val="edge"/>
          <c:yMode val="edge"/>
          <c:x val="0.254055555555555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78958880139982"/>
          <c:y val="7.9120370370370396E-2"/>
          <c:w val="0.76808770778652669"/>
          <c:h val="0.7075769174686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Business Plan'!$B$298</c:f>
              <c:strCache>
                <c:ptCount val="1"/>
                <c:pt idx="0">
                  <c:v> Fatturato </c:v>
                </c:pt>
              </c:strCache>
            </c:strRef>
          </c:tx>
          <c:spPr>
            <a:solidFill>
              <a:srgbClr val="E3E9F0"/>
            </a:solidFill>
            <a:ln>
              <a:noFill/>
            </a:ln>
            <a:effectLst/>
          </c:spPr>
          <c:invertIfNegative val="0"/>
          <c:cat>
            <c:numRef>
              <c:f>'Financial Business Plan'!$E$2:$N$2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'Financial Business Plan'!$E$298:$N$298</c:f>
              <c:numCache>
                <c:formatCode>_-* #,##0_-;\(#,##0\)_-;_-* "-"_-;_-@_-</c:formatCode>
                <c:ptCount val="7"/>
                <c:pt idx="0">
                  <c:v>1101.7159999999999</c:v>
                </c:pt>
                <c:pt idx="1">
                  <c:v>1186.941</c:v>
                </c:pt>
                <c:pt idx="2">
                  <c:v>1305.6351000000002</c:v>
                </c:pt>
                <c:pt idx="3">
                  <c:v>1958.4526500000002</c:v>
                </c:pt>
                <c:pt idx="4">
                  <c:v>3916.9053000000004</c:v>
                </c:pt>
                <c:pt idx="5">
                  <c:v>11750.715900000001</c:v>
                </c:pt>
                <c:pt idx="6">
                  <c:v>58753.579500000007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C-4DAD-87B4-D6BAD090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61724408"/>
        <c:axId val="561719160"/>
      </c:barChart>
      <c:lineChart>
        <c:grouping val="standard"/>
        <c:varyColors val="0"/>
        <c:ser>
          <c:idx val="1"/>
          <c:order val="1"/>
          <c:tx>
            <c:strRef>
              <c:f>'Financial Business Plan'!$B$299</c:f>
              <c:strCache>
                <c:ptCount val="1"/>
                <c:pt idx="0">
                  <c:v> EBITDA Margin (%) </c:v>
                </c:pt>
              </c:strCache>
            </c:strRef>
          </c:tx>
          <c:spPr>
            <a:ln w="28575" cap="rnd">
              <a:solidFill>
                <a:srgbClr val="425C7D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'Financial Business Plan'!$E$299:$N$299</c:f>
              <c:numCache>
                <c:formatCode>0%</c:formatCode>
                <c:ptCount val="7"/>
                <c:pt idx="0">
                  <c:v>7.7663390565263585E-2</c:v>
                </c:pt>
                <c:pt idx="1">
                  <c:v>7.5583369350288004E-2</c:v>
                </c:pt>
                <c:pt idx="2">
                  <c:v>8.0417798204107785E-2</c:v>
                </c:pt>
                <c:pt idx="3">
                  <c:v>0.16081467683173251</c:v>
                </c:pt>
                <c:pt idx="4">
                  <c:v>0.23379601007969231</c:v>
                </c:pt>
                <c:pt idx="5">
                  <c:v>0.27677734332765214</c:v>
                </c:pt>
                <c:pt idx="6">
                  <c:v>0.36916240992601984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C-4DAD-87B4-D6BAD090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723096"/>
        <c:axId val="561721784"/>
      </c:lineChart>
      <c:catAx>
        <c:axId val="56172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1719160"/>
        <c:crosses val="autoZero"/>
        <c:auto val="1"/>
        <c:lblAlgn val="ctr"/>
        <c:lblOffset val="100"/>
        <c:noMultiLvlLbl val="0"/>
      </c:catAx>
      <c:valAx>
        <c:axId val="561719160"/>
        <c:scaling>
          <c:orientation val="minMax"/>
        </c:scaling>
        <c:delete val="0"/>
        <c:axPos val="l"/>
        <c:numFmt formatCode="_-* #,##0_-;\(#,##0\)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1724408"/>
        <c:crosses val="autoZero"/>
        <c:crossBetween val="between"/>
      </c:valAx>
      <c:valAx>
        <c:axId val="561721784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1723096"/>
        <c:crosses val="max"/>
        <c:crossBetween val="between"/>
      </c:valAx>
      <c:catAx>
        <c:axId val="561723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561721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Flusso di Cassa</a:t>
            </a:r>
          </a:p>
        </c:rich>
      </c:tx>
      <c:layout>
        <c:manualLayout>
          <c:xMode val="edge"/>
          <c:yMode val="edge"/>
          <c:x val="0.4300305413966342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752002289078114"/>
          <c:y val="5.5972222222222236E-2"/>
          <c:w val="0.86810618042367138"/>
          <c:h val="0.730725065616797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'Financial Business Plan'!$B$301</c:f>
              <c:strCache>
                <c:ptCount val="1"/>
                <c:pt idx="0">
                  <c:v> Flusso di Cassa Operativo </c:v>
                </c:pt>
              </c:strCache>
            </c:strRef>
          </c:tx>
          <c:spPr>
            <a:solidFill>
              <a:srgbClr val="E3E9F0"/>
            </a:solidFill>
            <a:ln>
              <a:noFill/>
            </a:ln>
            <a:effectLst/>
          </c:spPr>
          <c:invertIfNegative val="0"/>
          <c:cat>
            <c:numRef>
              <c:f>'Financial Business Plan'!$E$2:$N$2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'Financial Business Plan'!$E$301:$N$301</c:f>
              <c:numCache>
                <c:formatCode>_-* #,##0_-;\(#,##0\)_-;_-* "-"_-;_-@_-</c:formatCode>
                <c:ptCount val="7"/>
                <c:pt idx="0">
                  <c:v>0.25499999999992262</c:v>
                </c:pt>
                <c:pt idx="1">
                  <c:v>-52.666999999999803</c:v>
                </c:pt>
                <c:pt idx="2">
                  <c:v>158.23295000000005</c:v>
                </c:pt>
                <c:pt idx="3">
                  <c:v>273.57436363363456</c:v>
                </c:pt>
                <c:pt idx="4">
                  <c:v>750.5012844319707</c:v>
                </c:pt>
                <c:pt idx="5">
                  <c:v>1812.5941214212278</c:v>
                </c:pt>
                <c:pt idx="6">
                  <c:v>10321.883506897415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4-4F64-B245-7EB7BCC8B306}"/>
            </c:ext>
          </c:extLst>
        </c:ser>
        <c:ser>
          <c:idx val="1"/>
          <c:order val="1"/>
          <c:tx>
            <c:strRef>
              <c:f>'Financial Business Plan'!$B$302</c:f>
              <c:strCache>
                <c:ptCount val="1"/>
                <c:pt idx="0">
                  <c:v> Flusso di Cassa Investimenti </c:v>
                </c:pt>
              </c:strCache>
            </c:strRef>
          </c:tx>
          <c:spPr>
            <a:solidFill>
              <a:srgbClr val="2C3E54"/>
            </a:solidFill>
            <a:ln>
              <a:noFill/>
            </a:ln>
            <a:effectLst/>
          </c:spPr>
          <c:invertIfNegative val="0"/>
          <c:cat>
            <c:numRef>
              <c:f>'Financial Business Plan'!$E$2:$N$2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'Financial Business Plan'!$E$302:$N$302</c:f>
              <c:numCache>
                <c:formatCode>_-* #,##0_-;\(#,##0\)_-;_-* "-"_-;_-@_-</c:formatCode>
                <c:ptCount val="7"/>
                <c:pt idx="0">
                  <c:v>-560.83799999999997</c:v>
                </c:pt>
                <c:pt idx="1">
                  <c:v>-28.250999999999991</c:v>
                </c:pt>
                <c:pt idx="2">
                  <c:v>-1037.7249999999999</c:v>
                </c:pt>
                <c:pt idx="3">
                  <c:v>-237.72499999999999</c:v>
                </c:pt>
                <c:pt idx="4">
                  <c:v>-2037.7249999999999</c:v>
                </c:pt>
                <c:pt idx="5">
                  <c:v>-537.72500000000002</c:v>
                </c:pt>
                <c:pt idx="6">
                  <c:v>-537.72500000000002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4-4F64-B245-7EB7BCC8B306}"/>
            </c:ext>
          </c:extLst>
        </c:ser>
        <c:ser>
          <c:idx val="2"/>
          <c:order val="2"/>
          <c:tx>
            <c:strRef>
              <c:f>'Financial Business Plan'!$B$303</c:f>
              <c:strCache>
                <c:ptCount val="1"/>
                <c:pt idx="0">
                  <c:v> Flusso di Cassa Finanziamenti </c:v>
                </c:pt>
              </c:strCache>
            </c:strRef>
          </c:tx>
          <c:spPr>
            <a:solidFill>
              <a:srgbClr val="7492B6"/>
            </a:solidFill>
            <a:ln>
              <a:noFill/>
            </a:ln>
            <a:effectLst/>
          </c:spPr>
          <c:invertIfNegative val="0"/>
          <c:cat>
            <c:numRef>
              <c:f>'Financial Business Plan'!$E$2:$N$2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'Financial Business Plan'!$E$303:$N$303</c:f>
              <c:numCache>
                <c:formatCode>_-* #,##0_-;\(#,##0\)_-;_-* "-"_-;_-@_-</c:formatCode>
                <c:ptCount val="7"/>
                <c:pt idx="0">
                  <c:v>769.15899999999999</c:v>
                </c:pt>
                <c:pt idx="1">
                  <c:v>84.00200000000001</c:v>
                </c:pt>
                <c:pt idx="2">
                  <c:v>820</c:v>
                </c:pt>
                <c:pt idx="3">
                  <c:v>40</c:v>
                </c:pt>
                <c:pt idx="4">
                  <c:v>1601</c:v>
                </c:pt>
                <c:pt idx="5">
                  <c:v>25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4-4F64-B245-7EB7BCC8B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9180600"/>
        <c:axId val="559182240"/>
      </c:barChart>
      <c:catAx>
        <c:axId val="55918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9182240"/>
        <c:crosses val="autoZero"/>
        <c:auto val="1"/>
        <c:lblAlgn val="ctr"/>
        <c:lblOffset val="100"/>
        <c:noMultiLvlLbl val="0"/>
      </c:catAx>
      <c:valAx>
        <c:axId val="559182240"/>
        <c:scaling>
          <c:orientation val="minMax"/>
        </c:scaling>
        <c:delete val="0"/>
        <c:axPos val="l"/>
        <c:numFmt formatCode="_-* #,##0_-;\(#,##0\)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918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226390</xdr:colOff>
      <xdr:row>304</xdr:row>
      <xdr:rowOff>33683</xdr:rowOff>
    </xdr:from>
    <xdr:to>
      <xdr:col>6</xdr:col>
      <xdr:colOff>634999</xdr:colOff>
      <xdr:row>317</xdr:row>
      <xdr:rowOff>192709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690111-7DC0-4188-95A0-72DE656A8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22086</xdr:colOff>
      <xdr:row>304</xdr:row>
      <xdr:rowOff>88900</xdr:rowOff>
    </xdr:from>
    <xdr:to>
      <xdr:col>14</xdr:col>
      <xdr:colOff>110433</xdr:colOff>
      <xdr:row>318</xdr:row>
      <xdr:rowOff>49143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CBB28F-5998-4CB2-A664-19ED8C673C5B}"/>
            </a:ext>
            <a:ext uri="{147F2762-F138-4A5C-976F-8EAC2B608ADB}">
              <a16:predDERef xmlns:a16="http://schemas.microsoft.com/office/drawing/2014/main" pred="{E3690111-7DC0-4188-95A0-72DE656A8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fo_etozzi_com/Documents/Altro/Excel%20per%20il%20controllo%20di%20gestione/documenti/A02.1-Xbrl-Csv-T-2017-AnBil-Abbreviato-Esemp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w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"/>
      <sheetName val="1-CSV-Abbreviato"/>
      <sheetName val="2-BIL-Abbreviato"/>
      <sheetName val="3-Analis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0"/>
  <sheetViews>
    <sheetView showGridLines="0" tabSelected="1" topLeftCell="B1" zoomScale="110" zoomScaleNormal="110" workbookViewId="0">
      <pane ySplit="3" topLeftCell="B4" activePane="bottomLeft" state="frozen"/>
      <selection pane="bottomLeft" activeCell="B6" sqref="B6"/>
    </sheetView>
  </sheetViews>
  <sheetFormatPr defaultColWidth="9.140625" defaultRowHeight="15.6" outlineLevelRow="1" outlineLevelCol="1"/>
  <cols>
    <col min="1" max="1" width="9.140625" style="4" hidden="1" customWidth="1" outlineLevel="1"/>
    <col min="2" max="2" width="71.140625" style="4" customWidth="1" collapsed="1"/>
    <col min="3" max="3" width="12.42578125" style="4" customWidth="1"/>
    <col min="4" max="4" width="11.140625" style="6" customWidth="1"/>
    <col min="5" max="7" width="11.42578125" style="4" hidden="1" customWidth="1" outlineLevel="1"/>
    <col min="8" max="8" width="12.42578125" style="4" customWidth="1" collapsed="1"/>
    <col min="9" max="14" width="12.42578125" style="4" customWidth="1"/>
    <col min="15" max="16384" width="9.140625" style="4"/>
  </cols>
  <sheetData>
    <row r="1" spans="2:17">
      <c r="B1" s="60" t="s">
        <v>0</v>
      </c>
      <c r="C1" s="61">
        <f ca="1">TODAY()</f>
        <v>45745</v>
      </c>
      <c r="D1" s="62"/>
      <c r="E1" s="63"/>
      <c r="F1" s="64"/>
      <c r="G1" s="64"/>
      <c r="H1" s="63" t="s">
        <v>1</v>
      </c>
      <c r="I1" s="64"/>
      <c r="J1" s="57" t="s">
        <v>2</v>
      </c>
      <c r="K1" s="58"/>
      <c r="L1" s="58"/>
      <c r="M1" s="58"/>
      <c r="N1" s="58"/>
    </row>
    <row r="2" spans="2:17" ht="21" customHeight="1">
      <c r="B2" s="65" t="s">
        <v>3</v>
      </c>
      <c r="C2" s="66"/>
      <c r="D2" s="67"/>
      <c r="E2" s="68">
        <f t="shared" ref="E2:G2" si="0">+F2-1</f>
        <v>2020</v>
      </c>
      <c r="F2" s="68">
        <f t="shared" si="0"/>
        <v>2021</v>
      </c>
      <c r="G2" s="68">
        <f t="shared" si="0"/>
        <v>2022</v>
      </c>
      <c r="H2" s="68">
        <f>+I2-1</f>
        <v>2023</v>
      </c>
      <c r="I2" s="68">
        <v>2024</v>
      </c>
      <c r="J2" s="59">
        <f t="shared" ref="J2:N2" si="1">+I2+1</f>
        <v>2025</v>
      </c>
      <c r="K2" s="59">
        <f t="shared" si="1"/>
        <v>2026</v>
      </c>
      <c r="L2" s="59">
        <f t="shared" si="1"/>
        <v>2027</v>
      </c>
      <c r="M2" s="59">
        <f t="shared" si="1"/>
        <v>2028</v>
      </c>
      <c r="N2" s="59">
        <f t="shared" si="1"/>
        <v>2029</v>
      </c>
      <c r="O2" s="9"/>
      <c r="P2" s="9"/>
      <c r="Q2" s="9"/>
    </row>
    <row r="3" spans="2:17">
      <c r="B3" s="4" t="s">
        <v>4</v>
      </c>
      <c r="E3" s="10" t="str">
        <f t="shared" ref="E3:I3" si="2">IFERROR(IF(ABS(E181)&gt;1,"ERROR","OK"),"OK")</f>
        <v>OK</v>
      </c>
      <c r="F3" s="10" t="str">
        <f t="shared" si="2"/>
        <v>OK</v>
      </c>
      <c r="G3" s="10" t="str">
        <f t="shared" si="2"/>
        <v>OK</v>
      </c>
      <c r="H3" s="10" t="str">
        <f t="shared" si="2"/>
        <v>OK</v>
      </c>
      <c r="I3" s="10" t="str">
        <f t="shared" si="2"/>
        <v>OK</v>
      </c>
      <c r="J3" s="10" t="str">
        <f>IFERROR(IF(ABS(J181)&gt;1,"ERROR","OK"),"OK")</f>
        <v>OK</v>
      </c>
      <c r="K3" s="10" t="str">
        <f t="shared" ref="K3:N3" si="3">IFERROR(IF(ABS(K181)&gt;1,"ERROR","OK"),"OK")</f>
        <v>OK</v>
      </c>
      <c r="L3" s="10" t="str">
        <f t="shared" si="3"/>
        <v>OK</v>
      </c>
      <c r="M3" s="10" t="str">
        <f t="shared" si="3"/>
        <v>OK</v>
      </c>
      <c r="N3" s="10" t="str">
        <f t="shared" si="3"/>
        <v>OK</v>
      </c>
    </row>
    <row r="5" spans="2:17" ht="20.45">
      <c r="B5" s="54" t="s">
        <v>5</v>
      </c>
      <c r="C5" s="55"/>
      <c r="D5" s="56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2:17" outlineLevel="1">
      <c r="E6" s="11"/>
      <c r="F6" s="11"/>
      <c r="G6" s="11"/>
      <c r="H6" s="11"/>
      <c r="I6" s="11"/>
      <c r="J6" s="12"/>
      <c r="K6" s="12"/>
      <c r="L6" s="12"/>
      <c r="M6" s="12"/>
      <c r="N6" s="12"/>
    </row>
    <row r="7" spans="2:17" ht="15.75" outlineLevel="1">
      <c r="B7" s="69" t="s">
        <v>6</v>
      </c>
      <c r="C7" s="70" t="s">
        <v>7</v>
      </c>
      <c r="D7" s="20"/>
      <c r="E7" s="41"/>
      <c r="F7" s="41"/>
      <c r="G7" s="41"/>
      <c r="H7" s="41"/>
      <c r="I7" s="41"/>
      <c r="J7" s="42"/>
      <c r="K7" s="42"/>
      <c r="L7" s="42"/>
      <c r="M7" s="42"/>
      <c r="N7" s="42"/>
    </row>
    <row r="8" spans="2:17" outlineLevel="1">
      <c r="B8" s="4" t="s">
        <v>8</v>
      </c>
      <c r="E8" s="11"/>
      <c r="F8" s="11"/>
      <c r="G8" s="11"/>
      <c r="H8" s="11"/>
      <c r="I8" s="43">
        <f>+I91/H91-1</f>
        <v>7.735659643683146E-2</v>
      </c>
      <c r="J8" s="44">
        <v>0.1</v>
      </c>
      <c r="K8" s="44">
        <v>0.5</v>
      </c>
      <c r="L8" s="44">
        <v>1</v>
      </c>
      <c r="M8" s="44">
        <v>2</v>
      </c>
      <c r="N8" s="44">
        <v>4</v>
      </c>
    </row>
    <row r="9" spans="2:17" outlineLevel="1">
      <c r="B9" s="46" t="s">
        <v>9</v>
      </c>
      <c r="E9" s="11"/>
      <c r="F9" s="11"/>
      <c r="G9" s="11"/>
      <c r="H9" s="47" t="s">
        <v>10</v>
      </c>
      <c r="I9" s="47" t="s">
        <v>10</v>
      </c>
      <c r="J9" s="47" t="s">
        <v>10</v>
      </c>
      <c r="K9" s="47" t="s">
        <v>10</v>
      </c>
      <c r="L9" s="47" t="s">
        <v>10</v>
      </c>
      <c r="M9" s="47" t="s">
        <v>10</v>
      </c>
      <c r="N9" s="47" t="s">
        <v>10</v>
      </c>
    </row>
    <row r="10" spans="2:17" outlineLevel="1">
      <c r="B10" s="46" t="s">
        <v>11</v>
      </c>
      <c r="E10" s="11"/>
      <c r="F10" s="11"/>
      <c r="G10" s="11"/>
      <c r="H10" s="47" t="s">
        <v>10</v>
      </c>
      <c r="I10" s="47" t="s">
        <v>10</v>
      </c>
      <c r="J10" s="47" t="s">
        <v>10</v>
      </c>
      <c r="K10" s="47" t="s">
        <v>10</v>
      </c>
      <c r="L10" s="47" t="s">
        <v>10</v>
      </c>
      <c r="M10" s="47" t="s">
        <v>10</v>
      </c>
      <c r="N10" s="47" t="s">
        <v>10</v>
      </c>
    </row>
    <row r="11" spans="2:17" outlineLevel="1">
      <c r="B11" s="46" t="s">
        <v>12</v>
      </c>
      <c r="E11" s="11"/>
      <c r="F11" s="11"/>
      <c r="G11" s="11"/>
      <c r="H11" s="45">
        <f>+H94</f>
        <v>0</v>
      </c>
      <c r="I11" s="45">
        <f>+I94</f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2:17" outlineLevel="1">
      <c r="B12" s="4" t="s">
        <v>13</v>
      </c>
      <c r="E12" s="11"/>
      <c r="F12" s="11"/>
      <c r="G12" s="11"/>
      <c r="H12" s="43">
        <f>H95/H$91</f>
        <v>2.1585417657545139E-2</v>
      </c>
      <c r="I12" s="43">
        <f>I95/I$91</f>
        <v>7.0694331057735808E-3</v>
      </c>
      <c r="J12" s="44">
        <f>+I12</f>
        <v>7.0694331057735808E-3</v>
      </c>
      <c r="K12" s="44">
        <f t="shared" ref="K12:N12" si="4">+J12</f>
        <v>7.0694331057735808E-3</v>
      </c>
      <c r="L12" s="44">
        <f t="shared" si="4"/>
        <v>7.0694331057735808E-3</v>
      </c>
      <c r="M12" s="44">
        <f t="shared" si="4"/>
        <v>7.0694331057735808E-3</v>
      </c>
      <c r="N12" s="44">
        <f t="shared" si="4"/>
        <v>7.0694331057735808E-3</v>
      </c>
    </row>
    <row r="13" spans="2:17" outlineLevel="1">
      <c r="B13" s="5"/>
      <c r="E13" s="11"/>
      <c r="F13" s="11"/>
      <c r="G13" s="11"/>
      <c r="H13" s="11"/>
      <c r="I13" s="11"/>
      <c r="J13" s="12"/>
      <c r="K13" s="12"/>
      <c r="L13" s="12"/>
      <c r="M13" s="12"/>
      <c r="N13" s="12"/>
    </row>
    <row r="14" spans="2:17" outlineLevel="1">
      <c r="B14" s="4" t="s">
        <v>14</v>
      </c>
      <c r="E14" s="11"/>
      <c r="F14" s="11"/>
      <c r="G14" s="11"/>
      <c r="H14" s="43">
        <f t="shared" ref="H14:I17" si="5">H97/H$91</f>
        <v>2.2365110427732739E-2</v>
      </c>
      <c r="I14" s="43">
        <f t="shared" si="5"/>
        <v>1.3366292006089603E-2</v>
      </c>
      <c r="J14" s="44">
        <f>+I14</f>
        <v>1.3366292006089603E-2</v>
      </c>
      <c r="K14" s="44">
        <f t="shared" ref="K14:N14" si="6">+J14</f>
        <v>1.3366292006089603E-2</v>
      </c>
      <c r="L14" s="44">
        <f t="shared" si="6"/>
        <v>1.3366292006089603E-2</v>
      </c>
      <c r="M14" s="44">
        <f t="shared" si="6"/>
        <v>1.3366292006089603E-2</v>
      </c>
      <c r="N14" s="44">
        <f t="shared" si="6"/>
        <v>1.3366292006089603E-2</v>
      </c>
    </row>
    <row r="15" spans="2:17" outlineLevel="1">
      <c r="B15" s="4" t="s">
        <v>15</v>
      </c>
      <c r="E15" s="11"/>
      <c r="F15" s="11"/>
      <c r="G15" s="11"/>
      <c r="H15" s="43">
        <f t="shared" si="5"/>
        <v>0.52858268374063733</v>
      </c>
      <c r="I15" s="43">
        <f t="shared" si="5"/>
        <v>0.52615926149656977</v>
      </c>
      <c r="J15" s="44">
        <f t="shared" ref="J15:N15" si="7">+I15</f>
        <v>0.52615926149656977</v>
      </c>
      <c r="K15" s="44">
        <v>0.5</v>
      </c>
      <c r="L15" s="44">
        <v>0.48</v>
      </c>
      <c r="M15" s="44">
        <v>0.44</v>
      </c>
      <c r="N15" s="44">
        <v>0.4</v>
      </c>
    </row>
    <row r="16" spans="2:17" outlineLevel="1">
      <c r="B16" s="4" t="s">
        <v>16</v>
      </c>
      <c r="E16" s="11"/>
      <c r="F16" s="11"/>
      <c r="G16" s="11"/>
      <c r="H16" s="43">
        <f t="shared" si="5"/>
        <v>1.8622766665819506E-2</v>
      </c>
      <c r="I16" s="43">
        <f t="shared" si="5"/>
        <v>2.214937389474287E-2</v>
      </c>
      <c r="J16" s="44">
        <f t="shared" ref="J16:N16" si="8">+I16</f>
        <v>2.214937389474287E-2</v>
      </c>
      <c r="K16" s="44">
        <f t="shared" si="8"/>
        <v>2.214937389474287E-2</v>
      </c>
      <c r="L16" s="44">
        <f t="shared" si="8"/>
        <v>2.214937389474287E-2</v>
      </c>
      <c r="M16" s="44">
        <f t="shared" si="8"/>
        <v>2.214937389474287E-2</v>
      </c>
      <c r="N16" s="44">
        <f t="shared" si="8"/>
        <v>2.214937389474287E-2</v>
      </c>
    </row>
    <row r="17" spans="2:14" outlineLevel="1">
      <c r="B17" s="4" t="s">
        <v>17</v>
      </c>
      <c r="E17" s="11"/>
      <c r="F17" s="11"/>
      <c r="G17" s="11"/>
      <c r="H17" s="43">
        <f t="shared" si="5"/>
        <v>0.33694073608806629</v>
      </c>
      <c r="I17" s="43">
        <f t="shared" si="5"/>
        <v>0.3499011324067498</v>
      </c>
      <c r="J17" s="44">
        <f t="shared" ref="J17:N17" si="9">+I17</f>
        <v>0.3499011324067498</v>
      </c>
      <c r="K17" s="44">
        <v>0.3</v>
      </c>
      <c r="L17" s="44">
        <v>0.25</v>
      </c>
      <c r="M17" s="44">
        <f t="shared" si="9"/>
        <v>0.25</v>
      </c>
      <c r="N17" s="44">
        <v>0.2</v>
      </c>
    </row>
    <row r="18" spans="2:14" outlineLevel="1">
      <c r="B18" s="5"/>
      <c r="E18" s="11"/>
      <c r="F18" s="11"/>
      <c r="G18" s="11"/>
      <c r="H18" s="11"/>
      <c r="I18" s="11"/>
      <c r="J18" s="12"/>
      <c r="K18" s="12"/>
      <c r="L18" s="12"/>
      <c r="M18" s="12"/>
      <c r="N18" s="12"/>
    </row>
    <row r="19" spans="2:14" outlineLevel="1">
      <c r="B19" s="4" t="s">
        <v>18</v>
      </c>
      <c r="E19" s="11"/>
      <c r="F19" s="11"/>
      <c r="G19" s="45"/>
      <c r="H19" s="45">
        <f t="shared" ref="H19:I21" si="10">+H101</f>
        <v>26.850999999999999</v>
      </c>
      <c r="I19" s="45">
        <f t="shared" si="10"/>
        <v>37.725000000000001</v>
      </c>
      <c r="J19" s="12">
        <f>+I19</f>
        <v>37.725000000000001</v>
      </c>
      <c r="K19" s="12">
        <f t="shared" ref="K19:N19" si="11">+J19</f>
        <v>37.725000000000001</v>
      </c>
      <c r="L19" s="12">
        <f t="shared" si="11"/>
        <v>37.725000000000001</v>
      </c>
      <c r="M19" s="12">
        <f t="shared" si="11"/>
        <v>37.725000000000001</v>
      </c>
      <c r="N19" s="12">
        <f t="shared" si="11"/>
        <v>37.725000000000001</v>
      </c>
    </row>
    <row r="20" spans="2:14" outlineLevel="1">
      <c r="B20" s="4" t="s">
        <v>19</v>
      </c>
      <c r="E20" s="11"/>
      <c r="F20" s="11"/>
      <c r="G20" s="45"/>
      <c r="H20" s="45">
        <f t="shared" si="10"/>
        <v>24.978000000000002</v>
      </c>
      <c r="I20" s="45">
        <f t="shared" si="10"/>
        <v>23.689</v>
      </c>
      <c r="J20" s="12">
        <v>200</v>
      </c>
      <c r="K20" s="12">
        <v>240</v>
      </c>
      <c r="L20" s="12">
        <v>640</v>
      </c>
      <c r="M20" s="12">
        <f t="shared" ref="K20:N20" si="12">+L20</f>
        <v>640</v>
      </c>
      <c r="N20" s="12">
        <f t="shared" si="12"/>
        <v>640</v>
      </c>
    </row>
    <row r="21" spans="2:14" outlineLevel="1">
      <c r="B21" s="4" t="s">
        <v>20</v>
      </c>
      <c r="E21" s="11"/>
      <c r="F21" s="11"/>
      <c r="G21" s="45"/>
      <c r="H21" s="45">
        <f t="shared" si="10"/>
        <v>0</v>
      </c>
      <c r="I21" s="45">
        <f t="shared" si="10"/>
        <v>0</v>
      </c>
      <c r="J21" s="12">
        <f>+I21</f>
        <v>0</v>
      </c>
      <c r="K21" s="12">
        <f t="shared" ref="K21:N21" si="13">+J21</f>
        <v>0</v>
      </c>
      <c r="L21" s="12">
        <f t="shared" si="13"/>
        <v>0</v>
      </c>
      <c r="M21" s="12">
        <f t="shared" si="13"/>
        <v>0</v>
      </c>
      <c r="N21" s="12">
        <f t="shared" si="13"/>
        <v>0</v>
      </c>
    </row>
    <row r="22" spans="2:14" outlineLevel="1">
      <c r="B22" s="4" t="s">
        <v>21</v>
      </c>
      <c r="E22" s="11"/>
      <c r="F22" s="11"/>
      <c r="G22" s="11"/>
      <c r="H22" s="43">
        <f>+H104/H139</f>
        <v>1.716</v>
      </c>
      <c r="I22" s="43">
        <f>+I104/I139</f>
        <v>2.427</v>
      </c>
      <c r="J22" s="44">
        <v>5.0000000000000001E-3</v>
      </c>
      <c r="K22" s="44">
        <v>5.0000000000000001E-3</v>
      </c>
      <c r="L22" s="44">
        <v>5.0000000000000001E-3</v>
      </c>
      <c r="M22" s="44">
        <v>5.0000000000000001E-3</v>
      </c>
      <c r="N22" s="44">
        <v>5.0000000000000001E-3</v>
      </c>
    </row>
    <row r="23" spans="2:14" outlineLevel="1">
      <c r="E23" s="11"/>
      <c r="F23" s="11"/>
      <c r="G23" s="11"/>
      <c r="H23" s="11"/>
      <c r="I23" s="11"/>
      <c r="J23" s="12"/>
      <c r="K23" s="12"/>
      <c r="L23" s="12"/>
      <c r="M23" s="12"/>
      <c r="N23" s="12"/>
    </row>
    <row r="24" spans="2:14" outlineLevel="1">
      <c r="B24" s="4" t="s">
        <v>22</v>
      </c>
      <c r="E24" s="11"/>
      <c r="F24" s="11"/>
      <c r="G24" s="11"/>
      <c r="H24" s="11"/>
      <c r="I24" s="11"/>
      <c r="J24" s="12"/>
      <c r="K24" s="12"/>
      <c r="L24" s="12"/>
      <c r="M24" s="12"/>
      <c r="N24" s="12"/>
    </row>
    <row r="25" spans="2:14" outlineLevel="1">
      <c r="B25" s="4" t="s">
        <v>23</v>
      </c>
      <c r="E25" s="11"/>
      <c r="F25" s="11"/>
      <c r="G25" s="11"/>
      <c r="H25" s="11">
        <f>+H246</f>
        <v>374.90300000000002</v>
      </c>
      <c r="I25" s="11">
        <f t="shared" ref="I25:I27" si="14">+I246</f>
        <v>22.989999999999988</v>
      </c>
      <c r="J25" s="12">
        <f>+J19</f>
        <v>37.725000000000001</v>
      </c>
      <c r="K25" s="12">
        <f t="shared" ref="K25:N25" si="15">+K19</f>
        <v>37.725000000000001</v>
      </c>
      <c r="L25" s="12">
        <f t="shared" si="15"/>
        <v>37.725000000000001</v>
      </c>
      <c r="M25" s="12">
        <f t="shared" si="15"/>
        <v>37.725000000000001</v>
      </c>
      <c r="N25" s="12">
        <f t="shared" si="15"/>
        <v>37.725000000000001</v>
      </c>
    </row>
    <row r="26" spans="2:14" outlineLevel="1">
      <c r="B26" s="4" t="s">
        <v>24</v>
      </c>
      <c r="E26" s="11"/>
      <c r="F26" s="11"/>
      <c r="G26" s="11"/>
      <c r="H26" s="11">
        <f t="shared" ref="H26" si="16">+H247</f>
        <v>185.935</v>
      </c>
      <c r="I26" s="11">
        <f t="shared" si="14"/>
        <v>5.2610000000000028</v>
      </c>
      <c r="J26" s="12">
        <v>1000</v>
      </c>
      <c r="K26" s="12">
        <v>200</v>
      </c>
      <c r="L26" s="12">
        <v>2000</v>
      </c>
      <c r="M26" s="12">
        <v>500</v>
      </c>
      <c r="N26" s="12">
        <v>500</v>
      </c>
    </row>
    <row r="27" spans="2:14" outlineLevel="1">
      <c r="B27" s="4" t="s">
        <v>25</v>
      </c>
      <c r="E27" s="11"/>
      <c r="F27" s="11"/>
      <c r="G27" s="11"/>
      <c r="H27" s="11">
        <f t="shared" ref="H27" si="17">+H248</f>
        <v>0</v>
      </c>
      <c r="I27" s="11">
        <f t="shared" si="14"/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2:14" outlineLevel="1">
      <c r="B28" s="5"/>
      <c r="E28" s="11"/>
      <c r="F28" s="11"/>
      <c r="G28" s="11"/>
      <c r="H28" s="11"/>
      <c r="I28" s="11"/>
      <c r="J28" s="12"/>
      <c r="K28" s="12"/>
      <c r="L28" s="12"/>
      <c r="M28" s="12"/>
      <c r="N28" s="12"/>
    </row>
    <row r="29" spans="2:14" outlineLevel="1">
      <c r="B29" s="46" t="s">
        <v>26</v>
      </c>
      <c r="E29" s="11"/>
      <c r="F29" s="11"/>
      <c r="G29" s="11"/>
      <c r="H29" s="47" t="s">
        <v>10</v>
      </c>
      <c r="I29" s="47" t="s">
        <v>10</v>
      </c>
      <c r="J29" s="47" t="s">
        <v>10</v>
      </c>
      <c r="K29" s="47" t="s">
        <v>10</v>
      </c>
      <c r="L29" s="47" t="s">
        <v>10</v>
      </c>
      <c r="M29" s="47" t="s">
        <v>10</v>
      </c>
      <c r="N29" s="47" t="s">
        <v>10</v>
      </c>
    </row>
    <row r="30" spans="2:14" outlineLevel="1">
      <c r="B30" s="4" t="s">
        <v>27</v>
      </c>
      <c r="E30" s="11"/>
      <c r="F30" s="11"/>
      <c r="G30" s="11"/>
      <c r="H30" s="43">
        <f>+H106/H$91</f>
        <v>0</v>
      </c>
      <c r="I30" s="43">
        <f>+I106/I$91</f>
        <v>0</v>
      </c>
      <c r="J30" s="44">
        <f>+I30</f>
        <v>0</v>
      </c>
      <c r="K30" s="44">
        <f t="shared" ref="K30:N30" si="18">+J30</f>
        <v>0</v>
      </c>
      <c r="L30" s="44">
        <f t="shared" si="18"/>
        <v>0</v>
      </c>
      <c r="M30" s="44">
        <f t="shared" si="18"/>
        <v>0</v>
      </c>
      <c r="N30" s="44">
        <f t="shared" si="18"/>
        <v>0</v>
      </c>
    </row>
    <row r="31" spans="2:14" outlineLevel="1">
      <c r="B31" s="4" t="s">
        <v>28</v>
      </c>
      <c r="E31" s="11"/>
      <c r="F31" s="11"/>
      <c r="G31" s="11"/>
      <c r="H31" s="43">
        <f>+H107/H$91</f>
        <v>0</v>
      </c>
      <c r="I31" s="43">
        <f>+I107/I$91</f>
        <v>0</v>
      </c>
      <c r="J31" s="44">
        <f t="shared" ref="J31:N31" si="19">+I31</f>
        <v>0</v>
      </c>
      <c r="K31" s="44">
        <f t="shared" si="19"/>
        <v>0</v>
      </c>
      <c r="L31" s="44">
        <f t="shared" si="19"/>
        <v>0</v>
      </c>
      <c r="M31" s="44">
        <f t="shared" si="19"/>
        <v>0</v>
      </c>
      <c r="N31" s="44">
        <f t="shared" si="19"/>
        <v>0</v>
      </c>
    </row>
    <row r="32" spans="2:14" outlineLevel="1">
      <c r="B32" s="4" t="s">
        <v>29</v>
      </c>
      <c r="E32" s="11"/>
      <c r="F32" s="11"/>
      <c r="G32" s="11"/>
      <c r="H32" s="43">
        <f t="shared" ref="H32:I32" si="20">+H108/H$91</f>
        <v>3.5250463821892397E-2</v>
      </c>
      <c r="I32" s="43">
        <f t="shared" si="20"/>
        <v>1.6697544359829172E-2</v>
      </c>
      <c r="J32" s="44">
        <f t="shared" ref="J32:N32" si="21">+I32</f>
        <v>1.6697544359829172E-2</v>
      </c>
      <c r="K32" s="44">
        <f t="shared" si="21"/>
        <v>1.6697544359829172E-2</v>
      </c>
      <c r="L32" s="44">
        <f t="shared" si="21"/>
        <v>1.6697544359829172E-2</v>
      </c>
      <c r="M32" s="44">
        <f t="shared" si="21"/>
        <v>1.6697544359829172E-2</v>
      </c>
      <c r="N32" s="44">
        <f t="shared" si="21"/>
        <v>1.6697544359829172E-2</v>
      </c>
    </row>
    <row r="33" spans="2:14" outlineLevel="1">
      <c r="B33" s="5"/>
      <c r="E33" s="11"/>
      <c r="F33" s="11"/>
      <c r="G33" s="11"/>
      <c r="H33" s="11"/>
      <c r="I33" s="11"/>
      <c r="J33" s="12"/>
      <c r="K33" s="12"/>
      <c r="L33" s="12"/>
      <c r="M33" s="12"/>
      <c r="N33" s="12"/>
    </row>
    <row r="34" spans="2:14" outlineLevel="1">
      <c r="B34" s="4" t="s">
        <v>30</v>
      </c>
      <c r="E34" s="11"/>
      <c r="F34" s="11"/>
      <c r="G34" s="11"/>
      <c r="H34" s="11">
        <f>+H111</f>
        <v>0</v>
      </c>
      <c r="I34" s="11">
        <f>+I111</f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2:14" outlineLevel="1">
      <c r="B35" s="4" t="s">
        <v>31</v>
      </c>
      <c r="E35" s="11"/>
      <c r="F35" s="11"/>
      <c r="G35" s="11"/>
      <c r="H35" s="11">
        <f>+H112</f>
        <v>1.052</v>
      </c>
      <c r="I35" s="11">
        <f>+I112</f>
        <v>0.71699999999999997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2:14" outlineLevel="1">
      <c r="B36" s="4" t="s">
        <v>32</v>
      </c>
      <c r="E36" s="11"/>
      <c r="F36" s="11"/>
      <c r="G36" s="11"/>
      <c r="H36" s="43">
        <f>H113/SUM(H156:H160)</f>
        <v>-3.707452574525745E-2</v>
      </c>
      <c r="I36" s="43">
        <f>I113/SUM(I156:I160)</f>
        <v>-2.6774939172749392E-2</v>
      </c>
      <c r="J36" s="44">
        <f>+I36</f>
        <v>-2.6774939172749392E-2</v>
      </c>
      <c r="K36" s="44">
        <f>+J36</f>
        <v>-2.6774939172749392E-2</v>
      </c>
      <c r="L36" s="44">
        <f>+K36</f>
        <v>-2.6774939172749392E-2</v>
      </c>
      <c r="M36" s="44">
        <f>+L36</f>
        <v>-2.6774939172749392E-2</v>
      </c>
      <c r="N36" s="44">
        <f>+M36</f>
        <v>-2.6774939172749392E-2</v>
      </c>
    </row>
    <row r="37" spans="2:14" outlineLevel="1">
      <c r="B37" s="4" t="s">
        <v>33</v>
      </c>
      <c r="E37" s="11"/>
      <c r="F37" s="11"/>
      <c r="G37" s="11"/>
      <c r="H37" s="11">
        <f t="shared" ref="H37:I39" si="22">+H114</f>
        <v>0</v>
      </c>
      <c r="I37" s="11">
        <f t="shared" si="22"/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</row>
    <row r="38" spans="2:14" outlineLevel="1">
      <c r="B38" s="4" t="s">
        <v>34</v>
      </c>
      <c r="E38" s="11"/>
      <c r="F38" s="11"/>
      <c r="G38" s="11"/>
      <c r="H38" s="11">
        <f t="shared" si="22"/>
        <v>0</v>
      </c>
      <c r="I38" s="11">
        <f t="shared" si="22"/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spans="2:14" outlineLevel="1">
      <c r="B39" s="4" t="s">
        <v>35</v>
      </c>
      <c r="E39" s="11"/>
      <c r="F39" s="11"/>
      <c r="G39" s="11"/>
      <c r="H39" s="11">
        <f t="shared" si="22"/>
        <v>-2</v>
      </c>
      <c r="I39" s="11">
        <f t="shared" si="22"/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</row>
    <row r="40" spans="2:14" outlineLevel="1">
      <c r="B40" s="5"/>
      <c r="E40" s="11"/>
      <c r="F40" s="11"/>
      <c r="G40" s="11"/>
      <c r="H40" s="11"/>
      <c r="I40" s="11"/>
      <c r="J40" s="12"/>
      <c r="K40" s="12"/>
      <c r="L40" s="12"/>
      <c r="M40" s="12"/>
      <c r="N40" s="12"/>
    </row>
    <row r="41" spans="2:14" outlineLevel="1">
      <c r="B41" s="4" t="s">
        <v>36</v>
      </c>
      <c r="E41" s="11"/>
      <c r="F41" s="11"/>
      <c r="G41" s="11"/>
      <c r="H41" s="43">
        <f>+H119/H118</f>
        <v>-0.95299539170508274</v>
      </c>
      <c r="I41" s="43">
        <f>+I119/I118</f>
        <v>-0.87769373483656643</v>
      </c>
      <c r="J41" s="44">
        <v>-0.5</v>
      </c>
      <c r="K41" s="44">
        <f t="shared" ref="K41:N41" si="23">+J41</f>
        <v>-0.5</v>
      </c>
      <c r="L41" s="44">
        <f t="shared" si="23"/>
        <v>-0.5</v>
      </c>
      <c r="M41" s="44">
        <f t="shared" si="23"/>
        <v>-0.5</v>
      </c>
      <c r="N41" s="44">
        <f t="shared" si="23"/>
        <v>-0.5</v>
      </c>
    </row>
    <row r="42" spans="2:14" outlineLevel="1">
      <c r="B42" s="5"/>
      <c r="E42" s="11"/>
      <c r="F42" s="11"/>
      <c r="G42" s="11"/>
      <c r="H42" s="11"/>
      <c r="I42" s="11"/>
      <c r="J42" s="12"/>
      <c r="K42" s="12"/>
      <c r="L42" s="12"/>
      <c r="M42" s="12"/>
      <c r="N42" s="12"/>
    </row>
    <row r="43" spans="2:14" outlineLevel="1">
      <c r="B43" s="4" t="s">
        <v>37</v>
      </c>
      <c r="E43" s="11"/>
      <c r="F43" s="11"/>
      <c r="G43" s="11"/>
      <c r="H43" s="11">
        <f>+H127</f>
        <v>0</v>
      </c>
      <c r="I43" s="11">
        <f>+I127</f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</row>
    <row r="44" spans="2:14" outlineLevel="1">
      <c r="B44" s="46" t="s">
        <v>23</v>
      </c>
      <c r="E44" s="11"/>
      <c r="F44" s="11"/>
      <c r="G44" s="11"/>
      <c r="H44" s="47" t="s">
        <v>10</v>
      </c>
      <c r="I44" s="47" t="s">
        <v>10</v>
      </c>
      <c r="J44" s="47" t="s">
        <v>10</v>
      </c>
      <c r="K44" s="47" t="s">
        <v>10</v>
      </c>
      <c r="L44" s="47" t="s">
        <v>10</v>
      </c>
      <c r="M44" s="47" t="s">
        <v>10</v>
      </c>
      <c r="N44" s="47" t="s">
        <v>10</v>
      </c>
    </row>
    <row r="45" spans="2:14" outlineLevel="1">
      <c r="B45" s="46" t="s">
        <v>24</v>
      </c>
      <c r="E45" s="11"/>
      <c r="F45" s="11"/>
      <c r="G45" s="11"/>
      <c r="H45" s="47" t="s">
        <v>10</v>
      </c>
      <c r="I45" s="47" t="s">
        <v>10</v>
      </c>
      <c r="J45" s="47" t="s">
        <v>10</v>
      </c>
      <c r="K45" s="47" t="s">
        <v>10</v>
      </c>
      <c r="L45" s="47" t="s">
        <v>10</v>
      </c>
      <c r="M45" s="47" t="s">
        <v>10</v>
      </c>
      <c r="N45" s="47" t="s">
        <v>10</v>
      </c>
    </row>
    <row r="46" spans="2:14" outlineLevel="1">
      <c r="B46" s="46" t="s">
        <v>25</v>
      </c>
      <c r="E46" s="11"/>
      <c r="F46" s="11"/>
      <c r="G46" s="11"/>
      <c r="H46" s="47" t="s">
        <v>10</v>
      </c>
      <c r="I46" s="47" t="s">
        <v>10</v>
      </c>
      <c r="J46" s="47" t="s">
        <v>10</v>
      </c>
      <c r="K46" s="47" t="s">
        <v>10</v>
      </c>
      <c r="L46" s="47" t="s">
        <v>10</v>
      </c>
      <c r="M46" s="47" t="s">
        <v>10</v>
      </c>
      <c r="N46" s="47" t="s">
        <v>10</v>
      </c>
    </row>
    <row r="47" spans="2:14" outlineLevel="1">
      <c r="B47" s="4" t="s">
        <v>38</v>
      </c>
      <c r="E47" s="11"/>
      <c r="F47" s="11"/>
      <c r="G47" s="11"/>
      <c r="H47" s="11">
        <f>+H132/H97*365</f>
        <v>335.04748376623377</v>
      </c>
      <c r="I47" s="11">
        <f>+I132/I97*365</f>
        <v>488.4765206429247</v>
      </c>
      <c r="J47" s="12">
        <f>+I47</f>
        <v>488.4765206429247</v>
      </c>
      <c r="K47" s="12">
        <f t="shared" ref="K47:N47" si="24">+J47</f>
        <v>488.4765206429247</v>
      </c>
      <c r="L47" s="12">
        <f t="shared" si="24"/>
        <v>488.4765206429247</v>
      </c>
      <c r="M47" s="12">
        <f t="shared" si="24"/>
        <v>488.4765206429247</v>
      </c>
      <c r="N47" s="12">
        <f t="shared" si="24"/>
        <v>488.4765206429247</v>
      </c>
    </row>
    <row r="48" spans="2:14" outlineLevel="1">
      <c r="B48" s="4" t="s">
        <v>39</v>
      </c>
      <c r="E48" s="11"/>
      <c r="F48" s="11"/>
      <c r="G48" s="11"/>
      <c r="H48" s="11">
        <f>H133/H91*365</f>
        <v>0</v>
      </c>
      <c r="I48" s="11">
        <f>I133/I91*365</f>
        <v>0</v>
      </c>
      <c r="J48" s="12">
        <f t="shared" ref="J48:N48" si="25">+I48</f>
        <v>0</v>
      </c>
      <c r="K48" s="12">
        <f t="shared" si="25"/>
        <v>0</v>
      </c>
      <c r="L48" s="12">
        <f t="shared" si="25"/>
        <v>0</v>
      </c>
      <c r="M48" s="12">
        <f t="shared" si="25"/>
        <v>0</v>
      </c>
      <c r="N48" s="12">
        <f t="shared" si="25"/>
        <v>0</v>
      </c>
    </row>
    <row r="49" spans="2:14" outlineLevel="1">
      <c r="B49" s="4" t="s">
        <v>40</v>
      </c>
      <c r="E49" s="11"/>
      <c r="F49" s="11"/>
      <c r="G49" s="11"/>
      <c r="H49" s="11">
        <f>H134/H91*365</f>
        <v>0</v>
      </c>
      <c r="I49" s="11">
        <f>I134/I91*365</f>
        <v>0</v>
      </c>
      <c r="J49" s="12">
        <f t="shared" ref="J49:N49" si="26">+I49</f>
        <v>0</v>
      </c>
      <c r="K49" s="12">
        <f t="shared" si="26"/>
        <v>0</v>
      </c>
      <c r="L49" s="12">
        <f t="shared" si="26"/>
        <v>0</v>
      </c>
      <c r="M49" s="12">
        <f t="shared" si="26"/>
        <v>0</v>
      </c>
      <c r="N49" s="12">
        <f t="shared" si="26"/>
        <v>0</v>
      </c>
    </row>
    <row r="50" spans="2:14" outlineLevel="1">
      <c r="B50" s="4" t="s">
        <v>41</v>
      </c>
      <c r="E50" s="11"/>
      <c r="F50" s="11"/>
      <c r="G50" s="11"/>
      <c r="H50" s="11">
        <f>H135/H91*365</f>
        <v>0</v>
      </c>
      <c r="I50" s="11">
        <f>I135/I91*365</f>
        <v>0</v>
      </c>
      <c r="J50" s="12">
        <f t="shared" ref="J50:N50" si="27">+I50</f>
        <v>0</v>
      </c>
      <c r="K50" s="12">
        <f t="shared" si="27"/>
        <v>0</v>
      </c>
      <c r="L50" s="12">
        <f t="shared" si="27"/>
        <v>0</v>
      </c>
      <c r="M50" s="12">
        <f t="shared" si="27"/>
        <v>0</v>
      </c>
      <c r="N50" s="12">
        <f t="shared" si="27"/>
        <v>0</v>
      </c>
    </row>
    <row r="51" spans="2:14" outlineLevel="1">
      <c r="B51" s="4" t="s">
        <v>42</v>
      </c>
      <c r="E51" s="11"/>
      <c r="F51" s="11"/>
      <c r="G51" s="11"/>
      <c r="H51" s="11">
        <f>H136/H97*365</f>
        <v>0</v>
      </c>
      <c r="I51" s="11">
        <f>I136/I97*365</f>
        <v>0</v>
      </c>
      <c r="J51" s="12">
        <f t="shared" ref="J51:N51" si="28">+I51</f>
        <v>0</v>
      </c>
      <c r="K51" s="12">
        <f t="shared" si="28"/>
        <v>0</v>
      </c>
      <c r="L51" s="12">
        <f t="shared" si="28"/>
        <v>0</v>
      </c>
      <c r="M51" s="12">
        <f t="shared" si="28"/>
        <v>0</v>
      </c>
      <c r="N51" s="12">
        <f t="shared" si="28"/>
        <v>0</v>
      </c>
    </row>
    <row r="52" spans="2:14" outlineLevel="1">
      <c r="B52" s="4" t="s">
        <v>43</v>
      </c>
      <c r="E52" s="11"/>
      <c r="F52" s="11"/>
      <c r="G52" s="11"/>
      <c r="H52" s="11">
        <f>+H138</f>
        <v>0</v>
      </c>
      <c r="I52" s="11">
        <f>+I138</f>
        <v>0</v>
      </c>
      <c r="J52" s="12">
        <f t="shared" ref="J52:N52" si="29">+I52</f>
        <v>0</v>
      </c>
      <c r="K52" s="12">
        <f t="shared" si="29"/>
        <v>0</v>
      </c>
      <c r="L52" s="12">
        <f t="shared" si="29"/>
        <v>0</v>
      </c>
      <c r="M52" s="12">
        <f t="shared" si="29"/>
        <v>0</v>
      </c>
      <c r="N52" s="12">
        <f t="shared" si="29"/>
        <v>0</v>
      </c>
    </row>
    <row r="53" spans="2:14" outlineLevel="1">
      <c r="B53" s="4" t="s">
        <v>44</v>
      </c>
      <c r="E53" s="11"/>
      <c r="F53" s="11"/>
      <c r="G53" s="11"/>
      <c r="H53" s="11">
        <f>+H139/H91*365</f>
        <v>0.33130135170951502</v>
      </c>
      <c r="I53" s="11">
        <f>+I139/I91*365</f>
        <v>0.30751317883534229</v>
      </c>
      <c r="J53" s="12">
        <f t="shared" ref="J53:N53" si="30">+I53</f>
        <v>0.30751317883534229</v>
      </c>
      <c r="K53" s="12">
        <f t="shared" si="30"/>
        <v>0.30751317883534229</v>
      </c>
      <c r="L53" s="12">
        <f t="shared" si="30"/>
        <v>0.30751317883534229</v>
      </c>
      <c r="M53" s="12">
        <f t="shared" si="30"/>
        <v>0.30751317883534229</v>
      </c>
      <c r="N53" s="12">
        <f t="shared" si="30"/>
        <v>0.30751317883534229</v>
      </c>
    </row>
    <row r="54" spans="2:14" outlineLevel="1">
      <c r="B54" s="4" t="s">
        <v>45</v>
      </c>
      <c r="E54" s="11"/>
      <c r="F54" s="11"/>
      <c r="G54" s="11"/>
      <c r="H54" s="11">
        <f>+H140</f>
        <v>0</v>
      </c>
      <c r="I54" s="11">
        <f>+I140</f>
        <v>0</v>
      </c>
      <c r="J54" s="12">
        <f t="shared" ref="J54:N54" si="31">+I54</f>
        <v>0</v>
      </c>
      <c r="K54" s="12">
        <f t="shared" si="31"/>
        <v>0</v>
      </c>
      <c r="L54" s="12">
        <f t="shared" si="31"/>
        <v>0</v>
      </c>
      <c r="M54" s="12">
        <f t="shared" si="31"/>
        <v>0</v>
      </c>
      <c r="N54" s="12">
        <f t="shared" si="31"/>
        <v>0</v>
      </c>
    </row>
    <row r="55" spans="2:14" outlineLevel="1">
      <c r="B55" s="4" t="s">
        <v>46</v>
      </c>
      <c r="E55" s="11"/>
      <c r="F55" s="11"/>
      <c r="G55" s="11"/>
      <c r="H55" s="11">
        <f t="shared" ref="H55:I60" si="32">+H141</f>
        <v>0</v>
      </c>
      <c r="I55" s="11">
        <f>+I141</f>
        <v>0</v>
      </c>
      <c r="J55" s="12">
        <f t="shared" ref="J55:N55" si="33">+I55</f>
        <v>0</v>
      </c>
      <c r="K55" s="12">
        <f t="shared" si="33"/>
        <v>0</v>
      </c>
      <c r="L55" s="12">
        <f t="shared" si="33"/>
        <v>0</v>
      </c>
      <c r="M55" s="12">
        <f t="shared" si="33"/>
        <v>0</v>
      </c>
      <c r="N55" s="12">
        <f t="shared" si="33"/>
        <v>0</v>
      </c>
    </row>
    <row r="56" spans="2:14" outlineLevel="1">
      <c r="B56" s="4" t="s">
        <v>47</v>
      </c>
      <c r="E56" s="11"/>
      <c r="F56" s="11"/>
      <c r="G56" s="11"/>
      <c r="H56" s="11">
        <f t="shared" si="32"/>
        <v>0</v>
      </c>
      <c r="I56" s="11">
        <f t="shared" si="32"/>
        <v>0</v>
      </c>
      <c r="J56" s="12">
        <f t="shared" ref="J56:N56" si="34">+I56</f>
        <v>0</v>
      </c>
      <c r="K56" s="12">
        <f t="shared" si="34"/>
        <v>0</v>
      </c>
      <c r="L56" s="12">
        <f t="shared" si="34"/>
        <v>0</v>
      </c>
      <c r="M56" s="12">
        <f t="shared" si="34"/>
        <v>0</v>
      </c>
      <c r="N56" s="12">
        <f t="shared" si="34"/>
        <v>0</v>
      </c>
    </row>
    <row r="57" spans="2:14" outlineLevel="1">
      <c r="B57" s="4" t="s">
        <v>48</v>
      </c>
      <c r="E57" s="11"/>
      <c r="F57" s="11"/>
      <c r="G57" s="11"/>
      <c r="H57" s="11">
        <f t="shared" si="32"/>
        <v>0</v>
      </c>
      <c r="I57" s="11">
        <f t="shared" si="32"/>
        <v>0</v>
      </c>
      <c r="J57" s="12">
        <f t="shared" ref="J57:N57" si="35">+I57</f>
        <v>0</v>
      </c>
      <c r="K57" s="12">
        <f t="shared" si="35"/>
        <v>0</v>
      </c>
      <c r="L57" s="12">
        <f t="shared" si="35"/>
        <v>0</v>
      </c>
      <c r="M57" s="12">
        <f t="shared" si="35"/>
        <v>0</v>
      </c>
      <c r="N57" s="12">
        <f t="shared" si="35"/>
        <v>0</v>
      </c>
    </row>
    <row r="58" spans="2:14" outlineLevel="1">
      <c r="B58" s="4" t="s">
        <v>49</v>
      </c>
      <c r="E58" s="11"/>
      <c r="F58" s="11"/>
      <c r="G58" s="11"/>
      <c r="H58" s="11">
        <f t="shared" si="32"/>
        <v>1</v>
      </c>
      <c r="I58" s="11">
        <f t="shared" si="32"/>
        <v>1</v>
      </c>
      <c r="J58" s="12">
        <f t="shared" ref="J58:N58" si="36">+I58</f>
        <v>1</v>
      </c>
      <c r="K58" s="12">
        <f t="shared" si="36"/>
        <v>1</v>
      </c>
      <c r="L58" s="12">
        <f t="shared" si="36"/>
        <v>1</v>
      </c>
      <c r="M58" s="12">
        <f t="shared" si="36"/>
        <v>1</v>
      </c>
      <c r="N58" s="12">
        <f t="shared" si="36"/>
        <v>1</v>
      </c>
    </row>
    <row r="59" spans="2:14" outlineLevel="1">
      <c r="B59" s="4" t="s">
        <v>50</v>
      </c>
      <c r="E59" s="11"/>
      <c r="F59" s="11"/>
      <c r="G59" s="11"/>
      <c r="H59" s="11">
        <f t="shared" si="32"/>
        <v>5.952</v>
      </c>
      <c r="I59" s="11">
        <f t="shared" si="32"/>
        <v>4.3079999999999998</v>
      </c>
      <c r="J59" s="12">
        <f t="shared" ref="J59:N59" si="37">+I59</f>
        <v>4.3079999999999998</v>
      </c>
      <c r="K59" s="12">
        <f t="shared" si="37"/>
        <v>4.3079999999999998</v>
      </c>
      <c r="L59" s="12">
        <f t="shared" si="37"/>
        <v>4.3079999999999998</v>
      </c>
      <c r="M59" s="12">
        <f t="shared" si="37"/>
        <v>4.3079999999999998</v>
      </c>
      <c r="N59" s="12">
        <f t="shared" si="37"/>
        <v>4.3079999999999998</v>
      </c>
    </row>
    <row r="60" spans="2:14" outlineLevel="1">
      <c r="B60" s="4" t="s">
        <v>51</v>
      </c>
      <c r="E60" s="11"/>
      <c r="F60" s="11"/>
      <c r="G60" s="11"/>
      <c r="H60" s="11">
        <f t="shared" si="32"/>
        <v>380.58100000000002</v>
      </c>
      <c r="I60" s="11">
        <f t="shared" si="32"/>
        <v>510.20400000000001</v>
      </c>
      <c r="J60" s="12">
        <f t="shared" ref="J60:N60" si="38">+I60</f>
        <v>510.20400000000001</v>
      </c>
      <c r="K60" s="12">
        <f t="shared" si="38"/>
        <v>510.20400000000001</v>
      </c>
      <c r="L60" s="12">
        <f t="shared" si="38"/>
        <v>510.20400000000001</v>
      </c>
      <c r="M60" s="12">
        <f t="shared" si="38"/>
        <v>510.20400000000001</v>
      </c>
      <c r="N60" s="12">
        <f t="shared" si="38"/>
        <v>510.20400000000001</v>
      </c>
    </row>
    <row r="61" spans="2:14" outlineLevel="1">
      <c r="B61" s="4" t="s">
        <v>52</v>
      </c>
      <c r="E61" s="11"/>
      <c r="F61" s="11"/>
      <c r="G61" s="11"/>
      <c r="H61" s="11">
        <f>+H148</f>
        <v>0</v>
      </c>
      <c r="I61" s="11">
        <f>+I148</f>
        <v>0</v>
      </c>
      <c r="J61" s="12">
        <f t="shared" ref="J61:N61" si="39">+I61</f>
        <v>0</v>
      </c>
      <c r="K61" s="12">
        <f t="shared" si="39"/>
        <v>0</v>
      </c>
      <c r="L61" s="12">
        <f t="shared" si="39"/>
        <v>0</v>
      </c>
      <c r="M61" s="12">
        <f t="shared" si="39"/>
        <v>0</v>
      </c>
      <c r="N61" s="12">
        <f t="shared" si="39"/>
        <v>0</v>
      </c>
    </row>
    <row r="62" spans="2:14" outlineLevel="1">
      <c r="B62" s="46" t="s">
        <v>53</v>
      </c>
      <c r="E62" s="11"/>
      <c r="F62" s="11"/>
      <c r="G62" s="11"/>
      <c r="H62" s="48" t="s">
        <v>10</v>
      </c>
      <c r="I62" s="48" t="s">
        <v>10</v>
      </c>
      <c r="J62" s="48" t="s">
        <v>10</v>
      </c>
      <c r="K62" s="48" t="s">
        <v>10</v>
      </c>
      <c r="L62" s="48" t="s">
        <v>10</v>
      </c>
      <c r="M62" s="48" t="s">
        <v>10</v>
      </c>
      <c r="N62" s="48" t="s">
        <v>10</v>
      </c>
    </row>
    <row r="63" spans="2:14" outlineLevel="1">
      <c r="B63" s="4" t="s">
        <v>54</v>
      </c>
      <c r="E63" s="11"/>
      <c r="F63" s="11"/>
      <c r="G63" s="11"/>
      <c r="H63" s="11">
        <f>+H150</f>
        <v>1.401</v>
      </c>
      <c r="I63" s="11">
        <f>+I150</f>
        <v>2.3170000000000002</v>
      </c>
      <c r="J63" s="12">
        <f>+I63</f>
        <v>2.3170000000000002</v>
      </c>
      <c r="K63" s="12">
        <f t="shared" ref="K63:N63" si="40">+J63</f>
        <v>2.3170000000000002</v>
      </c>
      <c r="L63" s="12">
        <f t="shared" si="40"/>
        <v>2.3170000000000002</v>
      </c>
      <c r="M63" s="12">
        <f t="shared" si="40"/>
        <v>2.3170000000000002</v>
      </c>
      <c r="N63" s="12">
        <f t="shared" si="40"/>
        <v>2.3170000000000002</v>
      </c>
    </row>
    <row r="64" spans="2:14" outlineLevel="1">
      <c r="E64" s="11"/>
      <c r="F64" s="11"/>
      <c r="G64" s="11"/>
      <c r="H64" s="11"/>
      <c r="I64" s="11"/>
      <c r="J64" s="12"/>
      <c r="K64" s="12"/>
      <c r="L64" s="12"/>
      <c r="M64" s="12"/>
      <c r="N64" s="12"/>
    </row>
    <row r="65" spans="2:14" outlineLevel="1">
      <c r="B65" s="4" t="s">
        <v>55</v>
      </c>
      <c r="E65" s="11"/>
      <c r="F65" s="11"/>
      <c r="G65" s="11"/>
      <c r="H65" s="11">
        <f t="shared" ref="H65:I70" si="41">+H154</f>
        <v>0</v>
      </c>
      <c r="I65" s="11">
        <f t="shared" si="41"/>
        <v>0</v>
      </c>
      <c r="J65" s="12">
        <f>+I65</f>
        <v>0</v>
      </c>
      <c r="K65" s="12">
        <f t="shared" ref="K65:N65" si="42">+J65</f>
        <v>0</v>
      </c>
      <c r="L65" s="12">
        <f t="shared" si="42"/>
        <v>0</v>
      </c>
      <c r="M65" s="12">
        <f t="shared" si="42"/>
        <v>0</v>
      </c>
      <c r="N65" s="12">
        <f t="shared" si="42"/>
        <v>0</v>
      </c>
    </row>
    <row r="66" spans="2:14" outlineLevel="1">
      <c r="B66" s="4" t="s">
        <v>56</v>
      </c>
      <c r="E66" s="11"/>
      <c r="F66" s="11"/>
      <c r="G66" s="11"/>
      <c r="H66" s="11">
        <f t="shared" si="41"/>
        <v>161.39699999999999</v>
      </c>
      <c r="I66" s="11">
        <f t="shared" si="41"/>
        <v>173.96799999999999</v>
      </c>
      <c r="J66" s="12">
        <f t="shared" ref="J66:N66" si="43">+I66</f>
        <v>173.96799999999999</v>
      </c>
      <c r="K66" s="12">
        <f t="shared" si="43"/>
        <v>173.96799999999999</v>
      </c>
      <c r="L66" s="12">
        <f t="shared" si="43"/>
        <v>173.96799999999999</v>
      </c>
      <c r="M66" s="12">
        <f t="shared" si="43"/>
        <v>173.96799999999999</v>
      </c>
      <c r="N66" s="12">
        <f t="shared" si="43"/>
        <v>173.96799999999999</v>
      </c>
    </row>
    <row r="67" spans="2:14" outlineLevel="1">
      <c r="B67" s="4" t="s">
        <v>57</v>
      </c>
      <c r="E67" s="11"/>
      <c r="F67" s="11"/>
      <c r="G67" s="11"/>
      <c r="H67" s="11">
        <f t="shared" si="41"/>
        <v>0</v>
      </c>
      <c r="I67" s="11">
        <f t="shared" si="41"/>
        <v>0</v>
      </c>
      <c r="J67" s="12">
        <f t="shared" ref="J67:N67" si="44">+I67</f>
        <v>0</v>
      </c>
      <c r="K67" s="12">
        <f t="shared" si="44"/>
        <v>0</v>
      </c>
      <c r="L67" s="12">
        <f t="shared" si="44"/>
        <v>0</v>
      </c>
      <c r="M67" s="12">
        <f t="shared" si="44"/>
        <v>0</v>
      </c>
      <c r="N67" s="12">
        <f t="shared" si="44"/>
        <v>0</v>
      </c>
    </row>
    <row r="68" spans="2:14" outlineLevel="1">
      <c r="B68" s="4" t="s">
        <v>58</v>
      </c>
      <c r="E68" s="11"/>
      <c r="F68" s="11"/>
      <c r="G68" s="11"/>
      <c r="H68" s="11">
        <f t="shared" si="41"/>
        <v>0</v>
      </c>
      <c r="I68" s="11">
        <f t="shared" si="41"/>
        <v>0</v>
      </c>
      <c r="J68" s="12">
        <f t="shared" ref="J68:N68" si="45">+I68</f>
        <v>0</v>
      </c>
      <c r="K68" s="12">
        <f t="shared" si="45"/>
        <v>0</v>
      </c>
      <c r="L68" s="12">
        <f t="shared" si="45"/>
        <v>0</v>
      </c>
      <c r="M68" s="12">
        <f t="shared" si="45"/>
        <v>0</v>
      </c>
      <c r="N68" s="12">
        <f t="shared" si="45"/>
        <v>0</v>
      </c>
    </row>
    <row r="69" spans="2:14" outlineLevel="1">
      <c r="B69" s="4" t="s">
        <v>59</v>
      </c>
      <c r="E69" s="11"/>
      <c r="F69" s="11"/>
      <c r="G69" s="11"/>
      <c r="H69" s="11">
        <f t="shared" si="41"/>
        <v>0</v>
      </c>
      <c r="I69" s="11">
        <f t="shared" si="41"/>
        <v>0</v>
      </c>
      <c r="J69" s="12">
        <f t="shared" ref="J69:N69" si="46">+I69</f>
        <v>0</v>
      </c>
      <c r="K69" s="12">
        <f t="shared" si="46"/>
        <v>0</v>
      </c>
      <c r="L69" s="12">
        <f t="shared" si="46"/>
        <v>0</v>
      </c>
      <c r="M69" s="12">
        <f t="shared" si="46"/>
        <v>0</v>
      </c>
      <c r="N69" s="12">
        <f t="shared" si="46"/>
        <v>0</v>
      </c>
    </row>
    <row r="70" spans="2:14" outlineLevel="1">
      <c r="B70" s="4" t="s">
        <v>60</v>
      </c>
      <c r="E70" s="11"/>
      <c r="F70" s="11"/>
      <c r="G70" s="11"/>
      <c r="H70" s="11">
        <f t="shared" si="41"/>
        <v>738</v>
      </c>
      <c r="I70" s="11">
        <f t="shared" si="41"/>
        <v>822</v>
      </c>
      <c r="J70" s="2">
        <f>+I70+J71</f>
        <v>822</v>
      </c>
      <c r="K70" s="2">
        <f t="shared" ref="K70:N70" si="47">+J70+K71</f>
        <v>822</v>
      </c>
      <c r="L70" s="2">
        <f t="shared" si="47"/>
        <v>822</v>
      </c>
      <c r="M70" s="2">
        <f t="shared" si="47"/>
        <v>822</v>
      </c>
      <c r="N70" s="2">
        <f t="shared" si="47"/>
        <v>822</v>
      </c>
    </row>
    <row r="71" spans="2:14" outlineLevel="1">
      <c r="B71" s="4" t="s">
        <v>61</v>
      </c>
      <c r="E71" s="11"/>
      <c r="F71" s="11"/>
      <c r="G71" s="11"/>
      <c r="H71" s="11">
        <f>H70-G70</f>
        <v>738</v>
      </c>
      <c r="I71" s="11">
        <f>I70-H70</f>
        <v>84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2:14" outlineLevel="1">
      <c r="B72" s="4" t="s">
        <v>62</v>
      </c>
      <c r="E72" s="11"/>
      <c r="F72" s="11"/>
      <c r="G72" s="11"/>
      <c r="H72" s="11">
        <f t="shared" ref="H72:I72" si="48">+H160</f>
        <v>0</v>
      </c>
      <c r="I72" s="11">
        <f t="shared" si="48"/>
        <v>0</v>
      </c>
      <c r="J72" s="12">
        <f>+I72</f>
        <v>0</v>
      </c>
      <c r="K72" s="12">
        <f t="shared" ref="K72:N72" si="49">+J72</f>
        <v>0</v>
      </c>
      <c r="L72" s="12">
        <f t="shared" si="49"/>
        <v>0</v>
      </c>
      <c r="M72" s="12">
        <f t="shared" si="49"/>
        <v>0</v>
      </c>
      <c r="N72" s="12">
        <f t="shared" si="49"/>
        <v>0</v>
      </c>
    </row>
    <row r="73" spans="2:14" outlineLevel="1">
      <c r="B73" s="4" t="s">
        <v>63</v>
      </c>
      <c r="E73" s="11"/>
      <c r="F73" s="11"/>
      <c r="G73" s="11"/>
      <c r="H73" s="11">
        <f>H161/H91*365</f>
        <v>0</v>
      </c>
      <c r="I73" s="11">
        <f>I161/I91*365</f>
        <v>0</v>
      </c>
      <c r="J73" s="12">
        <f t="shared" ref="J73:N73" si="50">+I73</f>
        <v>0</v>
      </c>
      <c r="K73" s="12">
        <f t="shared" si="50"/>
        <v>0</v>
      </c>
      <c r="L73" s="12">
        <f t="shared" si="50"/>
        <v>0</v>
      </c>
      <c r="M73" s="12">
        <f t="shared" si="50"/>
        <v>0</v>
      </c>
      <c r="N73" s="12">
        <f t="shared" si="50"/>
        <v>0</v>
      </c>
    </row>
    <row r="74" spans="2:14" outlineLevel="1">
      <c r="B74" s="4" t="s">
        <v>64</v>
      </c>
      <c r="E74" s="11"/>
      <c r="F74" s="11"/>
      <c r="G74" s="11"/>
      <c r="H74" s="11">
        <f>H162/(H97+H98)*365</f>
        <v>0.60132984507107234</v>
      </c>
      <c r="I74" s="11">
        <f>I162/(I97+I98)*365</f>
        <v>0.56996962764586934</v>
      </c>
      <c r="J74" s="12">
        <f t="shared" ref="J74:N74" si="51">+I74</f>
        <v>0.56996962764586934</v>
      </c>
      <c r="K74" s="12">
        <f t="shared" si="51"/>
        <v>0.56996962764586934</v>
      </c>
      <c r="L74" s="12">
        <f t="shared" si="51"/>
        <v>0.56996962764586934</v>
      </c>
      <c r="M74" s="12">
        <f t="shared" si="51"/>
        <v>0.56996962764586934</v>
      </c>
      <c r="N74" s="12">
        <f t="shared" si="51"/>
        <v>0.56996962764586934</v>
      </c>
    </row>
    <row r="75" spans="2:14" outlineLevel="1">
      <c r="B75" s="4" t="s">
        <v>65</v>
      </c>
      <c r="E75" s="11"/>
      <c r="F75" s="11"/>
      <c r="G75" s="11"/>
      <c r="H75" s="11">
        <f t="shared" ref="H75:H83" si="52">+H163</f>
        <v>0</v>
      </c>
      <c r="I75" s="11">
        <f t="shared" ref="I75:I83" si="53">+I163</f>
        <v>0</v>
      </c>
      <c r="J75" s="12">
        <f t="shared" ref="J75:N75" si="54">+I75</f>
        <v>0</v>
      </c>
      <c r="K75" s="12">
        <f t="shared" si="54"/>
        <v>0</v>
      </c>
      <c r="L75" s="12">
        <f t="shared" si="54"/>
        <v>0</v>
      </c>
      <c r="M75" s="12">
        <f t="shared" si="54"/>
        <v>0</v>
      </c>
      <c r="N75" s="12">
        <f t="shared" si="54"/>
        <v>0</v>
      </c>
    </row>
    <row r="76" spans="2:14" outlineLevel="1">
      <c r="B76" s="4" t="s">
        <v>66</v>
      </c>
      <c r="E76" s="11"/>
      <c r="F76" s="11"/>
      <c r="G76" s="11"/>
      <c r="H76" s="11">
        <f t="shared" si="52"/>
        <v>0</v>
      </c>
      <c r="I76" s="11">
        <f t="shared" si="53"/>
        <v>0</v>
      </c>
      <c r="J76" s="12">
        <f t="shared" ref="J76:N76" si="55">+I76</f>
        <v>0</v>
      </c>
      <c r="K76" s="12">
        <f t="shared" si="55"/>
        <v>0</v>
      </c>
      <c r="L76" s="12">
        <f t="shared" si="55"/>
        <v>0</v>
      </c>
      <c r="M76" s="12">
        <f t="shared" si="55"/>
        <v>0</v>
      </c>
      <c r="N76" s="12">
        <f t="shared" si="55"/>
        <v>0</v>
      </c>
    </row>
    <row r="77" spans="2:14" outlineLevel="1">
      <c r="B77" s="4" t="s">
        <v>67</v>
      </c>
      <c r="E77" s="11"/>
      <c r="F77" s="11"/>
      <c r="G77" s="11"/>
      <c r="H77" s="11">
        <f t="shared" si="52"/>
        <v>0</v>
      </c>
      <c r="I77" s="11">
        <f t="shared" si="53"/>
        <v>0</v>
      </c>
      <c r="J77" s="12">
        <f t="shared" ref="J77:N77" si="56">+I77</f>
        <v>0</v>
      </c>
      <c r="K77" s="12">
        <f t="shared" si="56"/>
        <v>0</v>
      </c>
      <c r="L77" s="12">
        <f t="shared" si="56"/>
        <v>0</v>
      </c>
      <c r="M77" s="12">
        <f t="shared" si="56"/>
        <v>0</v>
      </c>
      <c r="N77" s="12">
        <f t="shared" si="56"/>
        <v>0</v>
      </c>
    </row>
    <row r="78" spans="2:14" outlineLevel="1">
      <c r="B78" s="4" t="s">
        <v>68</v>
      </c>
      <c r="E78" s="11"/>
      <c r="F78" s="11"/>
      <c r="G78" s="11"/>
      <c r="H78" s="11">
        <f t="shared" si="52"/>
        <v>0</v>
      </c>
      <c r="I78" s="11">
        <f t="shared" si="53"/>
        <v>0</v>
      </c>
      <c r="J78" s="12">
        <f t="shared" ref="J78:N78" si="57">+I78</f>
        <v>0</v>
      </c>
      <c r="K78" s="12">
        <f t="shared" si="57"/>
        <v>0</v>
      </c>
      <c r="L78" s="12">
        <f t="shared" si="57"/>
        <v>0</v>
      </c>
      <c r="M78" s="12">
        <f t="shared" si="57"/>
        <v>0</v>
      </c>
      <c r="N78" s="12">
        <f t="shared" si="57"/>
        <v>0</v>
      </c>
    </row>
    <row r="79" spans="2:14" outlineLevel="1">
      <c r="B79" s="4" t="s">
        <v>69</v>
      </c>
      <c r="E79" s="11"/>
      <c r="F79" s="11"/>
      <c r="G79" s="11"/>
      <c r="H79" s="11">
        <f t="shared" si="52"/>
        <v>0</v>
      </c>
      <c r="I79" s="11">
        <f t="shared" si="53"/>
        <v>0</v>
      </c>
      <c r="J79" s="12">
        <f t="shared" ref="J79:N79" si="58">+I79</f>
        <v>0</v>
      </c>
      <c r="K79" s="12">
        <f t="shared" si="58"/>
        <v>0</v>
      </c>
      <c r="L79" s="12">
        <f t="shared" si="58"/>
        <v>0</v>
      </c>
      <c r="M79" s="12">
        <f t="shared" si="58"/>
        <v>0</v>
      </c>
      <c r="N79" s="12">
        <f t="shared" si="58"/>
        <v>0</v>
      </c>
    </row>
    <row r="80" spans="2:14" outlineLevel="1">
      <c r="B80" s="4" t="s">
        <v>70</v>
      </c>
      <c r="E80" s="11"/>
      <c r="F80" s="11"/>
      <c r="G80" s="11"/>
      <c r="H80" s="11">
        <f t="shared" si="52"/>
        <v>1</v>
      </c>
      <c r="I80" s="11">
        <f t="shared" si="53"/>
        <v>1</v>
      </c>
      <c r="J80" s="12">
        <f t="shared" ref="J80:N80" si="59">+I80</f>
        <v>1</v>
      </c>
      <c r="K80" s="12">
        <f t="shared" si="59"/>
        <v>1</v>
      </c>
      <c r="L80" s="12">
        <f t="shared" si="59"/>
        <v>1</v>
      </c>
      <c r="M80" s="12">
        <f t="shared" si="59"/>
        <v>1</v>
      </c>
      <c r="N80" s="12">
        <f t="shared" si="59"/>
        <v>1</v>
      </c>
    </row>
    <row r="81" spans="1:14" outlineLevel="1">
      <c r="B81" s="4" t="s">
        <v>71</v>
      </c>
      <c r="E81" s="11"/>
      <c r="F81" s="11"/>
      <c r="G81" s="11"/>
      <c r="H81" s="11">
        <f t="shared" si="52"/>
        <v>1</v>
      </c>
      <c r="I81" s="11">
        <f t="shared" si="53"/>
        <v>1</v>
      </c>
      <c r="J81" s="12">
        <f t="shared" ref="J81:N81" si="60">+I81</f>
        <v>1</v>
      </c>
      <c r="K81" s="12">
        <f t="shared" si="60"/>
        <v>1</v>
      </c>
      <c r="L81" s="12">
        <f t="shared" si="60"/>
        <v>1</v>
      </c>
      <c r="M81" s="12">
        <f t="shared" si="60"/>
        <v>1</v>
      </c>
      <c r="N81" s="12">
        <f t="shared" si="60"/>
        <v>1</v>
      </c>
    </row>
    <row r="82" spans="1:14" outlineLevel="1">
      <c r="B82" s="4" t="s">
        <v>72</v>
      </c>
      <c r="E82" s="11"/>
      <c r="F82" s="11"/>
      <c r="G82" s="11"/>
      <c r="H82" s="11">
        <f t="shared" si="52"/>
        <v>1</v>
      </c>
      <c r="I82" s="11">
        <f t="shared" si="53"/>
        <v>1</v>
      </c>
      <c r="J82" s="12">
        <f t="shared" ref="J82:N82" si="61">+I82</f>
        <v>1</v>
      </c>
      <c r="K82" s="12">
        <f t="shared" si="61"/>
        <v>1</v>
      </c>
      <c r="L82" s="12">
        <f t="shared" si="61"/>
        <v>1</v>
      </c>
      <c r="M82" s="12">
        <f t="shared" si="61"/>
        <v>1</v>
      </c>
      <c r="N82" s="12">
        <f t="shared" si="61"/>
        <v>1</v>
      </c>
    </row>
    <row r="83" spans="1:14" outlineLevel="1">
      <c r="B83" s="4" t="s">
        <v>73</v>
      </c>
      <c r="E83" s="11"/>
      <c r="F83" s="11"/>
      <c r="G83" s="11"/>
      <c r="H83" s="11">
        <f t="shared" si="52"/>
        <v>0</v>
      </c>
      <c r="I83" s="11">
        <f t="shared" si="53"/>
        <v>0</v>
      </c>
      <c r="J83" s="12">
        <f t="shared" ref="J83:N83" si="62">+I83</f>
        <v>0</v>
      </c>
      <c r="K83" s="12">
        <f t="shared" si="62"/>
        <v>0</v>
      </c>
      <c r="L83" s="12">
        <f t="shared" si="62"/>
        <v>0</v>
      </c>
      <c r="M83" s="12">
        <f t="shared" si="62"/>
        <v>0</v>
      </c>
      <c r="N83" s="12">
        <f t="shared" si="62"/>
        <v>0</v>
      </c>
    </row>
    <row r="84" spans="1:14" outlineLevel="1">
      <c r="E84" s="11"/>
      <c r="F84" s="11"/>
      <c r="G84" s="11"/>
      <c r="H84" s="11"/>
      <c r="I84" s="11"/>
      <c r="J84" s="12"/>
      <c r="K84" s="12"/>
      <c r="L84" s="12"/>
      <c r="M84" s="12"/>
      <c r="N84" s="12"/>
    </row>
    <row r="85" spans="1:14" outlineLevel="1">
      <c r="B85" s="4" t="s">
        <v>74</v>
      </c>
      <c r="E85" s="11"/>
      <c r="F85" s="11"/>
      <c r="G85" s="11"/>
      <c r="H85" s="11"/>
      <c r="I85" s="11"/>
      <c r="J85" s="12">
        <v>800</v>
      </c>
      <c r="K85" s="12">
        <v>10</v>
      </c>
      <c r="L85" s="12">
        <v>1600</v>
      </c>
      <c r="M85" s="12">
        <v>5</v>
      </c>
      <c r="N85" s="12">
        <v>10</v>
      </c>
    </row>
    <row r="86" spans="1:14" outlineLevel="1">
      <c r="B86" s="4" t="s">
        <v>75</v>
      </c>
      <c r="E86" s="11"/>
      <c r="F86" s="11"/>
      <c r="G86" s="11"/>
      <c r="H86" s="11"/>
      <c r="I86" s="11"/>
      <c r="J86" s="12">
        <v>20</v>
      </c>
      <c r="K86" s="12">
        <v>30</v>
      </c>
      <c r="L86" s="12">
        <v>1</v>
      </c>
      <c r="M86" s="12">
        <v>20</v>
      </c>
      <c r="N86" s="12">
        <v>30</v>
      </c>
    </row>
    <row r="87" spans="1:14" outlineLevel="1">
      <c r="E87" s="11"/>
      <c r="F87" s="11"/>
      <c r="G87" s="11"/>
      <c r="H87" s="11"/>
      <c r="I87" s="11"/>
      <c r="J87" s="12"/>
      <c r="K87" s="12"/>
      <c r="L87" s="12"/>
      <c r="M87" s="12"/>
      <c r="N87" s="12"/>
    </row>
    <row r="88" spans="1:14">
      <c r="E88" s="11"/>
      <c r="F88" s="11"/>
      <c r="G88" s="11"/>
      <c r="H88" s="11"/>
      <c r="I88" s="11"/>
      <c r="J88" s="12"/>
      <c r="K88" s="12"/>
      <c r="L88" s="12"/>
      <c r="M88" s="12"/>
      <c r="N88" s="12"/>
    </row>
    <row r="89" spans="1:14" ht="20.45">
      <c r="B89" s="54" t="s">
        <v>76</v>
      </c>
      <c r="C89" s="55"/>
      <c r="D89" s="56"/>
      <c r="E89" s="55"/>
      <c r="F89" s="55"/>
      <c r="G89" s="55"/>
      <c r="H89" s="55"/>
      <c r="I89" s="55"/>
      <c r="J89" s="55"/>
      <c r="K89" s="55"/>
      <c r="L89" s="55"/>
      <c r="M89" s="55"/>
      <c r="N89" s="55"/>
    </row>
    <row r="90" spans="1:14" outlineLevel="1">
      <c r="B90" s="14"/>
      <c r="C90" s="14"/>
      <c r="D90" s="8"/>
      <c r="E90" s="15"/>
      <c r="F90" s="15"/>
      <c r="G90" s="15"/>
      <c r="H90" s="15"/>
      <c r="I90" s="15"/>
      <c r="J90" s="16"/>
      <c r="K90" s="16"/>
      <c r="L90" s="16"/>
      <c r="M90" s="16"/>
      <c r="N90" s="16"/>
    </row>
    <row r="91" spans="1:14" outlineLevel="1">
      <c r="A91" s="4">
        <v>1</v>
      </c>
      <c r="B91" s="5" t="s">
        <v>77</v>
      </c>
      <c r="C91" s="5"/>
      <c r="D91" s="17"/>
      <c r="E91" s="5"/>
      <c r="F91" s="5"/>
      <c r="G91" s="5"/>
      <c r="H91" s="5">
        <v>1101.7159999999999</v>
      </c>
      <c r="I91" s="5">
        <v>1186.941</v>
      </c>
      <c r="J91" s="1">
        <f>+I91*(1+J8)</f>
        <v>1305.6351000000002</v>
      </c>
      <c r="K91" s="1">
        <f>+J91*(1+K8)</f>
        <v>1958.4526500000002</v>
      </c>
      <c r="L91" s="1">
        <f>+K91*(1+L8)</f>
        <v>3916.9053000000004</v>
      </c>
      <c r="M91" s="1">
        <f>+L91*(1+M8)</f>
        <v>11750.715900000001</v>
      </c>
      <c r="N91" s="1">
        <f>+M91*(1+N8)</f>
        <v>58753.579500000007</v>
      </c>
    </row>
    <row r="92" spans="1:14" outlineLevel="1">
      <c r="A92" s="4">
        <v>2</v>
      </c>
      <c r="B92" s="4" t="s">
        <v>78</v>
      </c>
      <c r="H92" s="5">
        <v>0</v>
      </c>
      <c r="I92" s="5">
        <v>0</v>
      </c>
      <c r="J92" s="2">
        <f>J133-I133+J135-I135</f>
        <v>0</v>
      </c>
      <c r="K92" s="2">
        <f t="shared" ref="K92:N92" si="63">K133-J133+K135-J135</f>
        <v>0</v>
      </c>
      <c r="L92" s="2">
        <f t="shared" si="63"/>
        <v>0</v>
      </c>
      <c r="M92" s="2">
        <f t="shared" si="63"/>
        <v>0</v>
      </c>
      <c r="N92" s="2">
        <f t="shared" si="63"/>
        <v>0</v>
      </c>
    </row>
    <row r="93" spans="1:14" outlineLevel="1">
      <c r="A93" s="4">
        <v>3</v>
      </c>
      <c r="B93" s="4" t="s">
        <v>79</v>
      </c>
      <c r="H93" s="5">
        <v>0</v>
      </c>
      <c r="I93" s="5">
        <v>0</v>
      </c>
      <c r="J93" s="2">
        <f>+J134-I134</f>
        <v>0</v>
      </c>
      <c r="K93" s="2">
        <f t="shared" ref="K93:N93" si="64">+K134-J134</f>
        <v>0</v>
      </c>
      <c r="L93" s="2">
        <f t="shared" si="64"/>
        <v>0</v>
      </c>
      <c r="M93" s="2">
        <f t="shared" si="64"/>
        <v>0</v>
      </c>
      <c r="N93" s="2">
        <f t="shared" si="64"/>
        <v>0</v>
      </c>
    </row>
    <row r="94" spans="1:14" outlineLevel="1">
      <c r="A94" s="4">
        <v>4</v>
      </c>
      <c r="B94" s="4" t="s">
        <v>80</v>
      </c>
      <c r="H94" s="5">
        <v>0</v>
      </c>
      <c r="I94" s="5">
        <v>0</v>
      </c>
      <c r="J94" s="2">
        <f>+J11</f>
        <v>0</v>
      </c>
      <c r="K94" s="2">
        <f>+K11</f>
        <v>0</v>
      </c>
      <c r="L94" s="2">
        <f>+L11</f>
        <v>0</v>
      </c>
      <c r="M94" s="2">
        <f>+M11</f>
        <v>0</v>
      </c>
      <c r="N94" s="2">
        <f>+N11</f>
        <v>0</v>
      </c>
    </row>
    <row r="95" spans="1:14" outlineLevel="1">
      <c r="A95" s="4">
        <v>5</v>
      </c>
      <c r="B95" s="19" t="s">
        <v>81</v>
      </c>
      <c r="C95" s="19"/>
      <c r="D95" s="20"/>
      <c r="E95" s="19"/>
      <c r="F95" s="19"/>
      <c r="G95" s="19"/>
      <c r="H95" s="5">
        <v>23.780999999999999</v>
      </c>
      <c r="I95" s="5">
        <v>8.391</v>
      </c>
      <c r="J95" s="38">
        <f>J$91*J12</f>
        <v>9.230100000000002</v>
      </c>
      <c r="K95" s="38">
        <f>K$91*K12</f>
        <v>13.84515</v>
      </c>
      <c r="L95" s="38">
        <f>L$91*L12</f>
        <v>27.690300000000001</v>
      </c>
      <c r="M95" s="38">
        <f>M$91*M12</f>
        <v>83.070900000000009</v>
      </c>
      <c r="N95" s="38">
        <f>N$91*N12</f>
        <v>415.35450000000003</v>
      </c>
    </row>
    <row r="96" spans="1:14" outlineLevel="1">
      <c r="B96" s="26" t="s">
        <v>82</v>
      </c>
      <c r="C96" s="26"/>
      <c r="D96" s="27"/>
      <c r="E96" s="26">
        <f>SUM(E91:E95)</f>
        <v>0</v>
      </c>
      <c r="F96" s="26">
        <f>SUM(F91:F95)</f>
        <v>0</v>
      </c>
      <c r="G96" s="26">
        <f>SUM(G91:G95)</f>
        <v>0</v>
      </c>
      <c r="H96" s="26">
        <f>SUM(H91:H95)</f>
        <v>1125.4969999999998</v>
      </c>
      <c r="I96" s="26">
        <f>SUM(I91:I95)</f>
        <v>1195.3320000000001</v>
      </c>
      <c r="J96" s="26">
        <f t="shared" ref="J96:N96" si="65">SUM(J91:J95)</f>
        <v>1314.8652000000002</v>
      </c>
      <c r="K96" s="26">
        <f t="shared" si="65"/>
        <v>1972.2978000000003</v>
      </c>
      <c r="L96" s="26">
        <f t="shared" si="65"/>
        <v>3944.5956000000006</v>
      </c>
      <c r="M96" s="26">
        <f t="shared" si="65"/>
        <v>11833.786800000002</v>
      </c>
      <c r="N96" s="26">
        <f t="shared" si="65"/>
        <v>59168.934000000008</v>
      </c>
    </row>
    <row r="97" spans="1:14" outlineLevel="1">
      <c r="A97" s="4">
        <v>6</v>
      </c>
      <c r="B97" s="4" t="s">
        <v>83</v>
      </c>
      <c r="H97" s="4">
        <v>24.64</v>
      </c>
      <c r="I97" s="4">
        <v>15.865</v>
      </c>
      <c r="J97" s="2">
        <f t="shared" ref="J97:N100" si="66">J$91*J14</f>
        <v>17.451500000000003</v>
      </c>
      <c r="K97" s="2">
        <f t="shared" si="66"/>
        <v>26.177250000000001</v>
      </c>
      <c r="L97" s="2">
        <f t="shared" si="66"/>
        <v>52.354500000000002</v>
      </c>
      <c r="M97" s="2">
        <f t="shared" si="66"/>
        <v>157.0635</v>
      </c>
      <c r="N97" s="2">
        <f t="shared" si="66"/>
        <v>785.31750000000011</v>
      </c>
    </row>
    <row r="98" spans="1:14" outlineLevel="1">
      <c r="A98" s="4">
        <v>7</v>
      </c>
      <c r="B98" s="4" t="s">
        <v>84</v>
      </c>
      <c r="H98" s="4">
        <v>582.34799999999996</v>
      </c>
      <c r="I98" s="4">
        <v>624.52</v>
      </c>
      <c r="J98" s="2">
        <f t="shared" si="66"/>
        <v>686.97200000000009</v>
      </c>
      <c r="K98" s="2">
        <f t="shared" si="66"/>
        <v>979.22632500000009</v>
      </c>
      <c r="L98" s="2">
        <f t="shared" si="66"/>
        <v>1880.114544</v>
      </c>
      <c r="M98" s="2">
        <f t="shared" si="66"/>
        <v>5170.3149960000001</v>
      </c>
      <c r="N98" s="2">
        <f t="shared" si="66"/>
        <v>23501.431800000006</v>
      </c>
    </row>
    <row r="99" spans="1:14" outlineLevel="1">
      <c r="A99" s="4">
        <v>8</v>
      </c>
      <c r="B99" s="4" t="s">
        <v>85</v>
      </c>
      <c r="H99" s="4">
        <v>20.516999999999999</v>
      </c>
      <c r="I99" s="4">
        <v>26.29</v>
      </c>
      <c r="J99" s="2">
        <f t="shared" si="66"/>
        <v>28.919</v>
      </c>
      <c r="K99" s="2">
        <f t="shared" si="66"/>
        <v>43.378499999999995</v>
      </c>
      <c r="L99" s="2">
        <f t="shared" si="66"/>
        <v>86.756999999999991</v>
      </c>
      <c r="M99" s="2">
        <f t="shared" si="66"/>
        <v>260.27100000000002</v>
      </c>
      <c r="N99" s="2">
        <f t="shared" si="66"/>
        <v>1301.355</v>
      </c>
    </row>
    <row r="100" spans="1:14" outlineLevel="1">
      <c r="A100" s="4">
        <v>9</v>
      </c>
      <c r="B100" s="4" t="s">
        <v>86</v>
      </c>
      <c r="H100" s="4">
        <v>371.21300000000002</v>
      </c>
      <c r="I100" s="4">
        <v>415.31200000000001</v>
      </c>
      <c r="J100" s="2">
        <f t="shared" si="66"/>
        <v>456.84320000000008</v>
      </c>
      <c r="K100" s="2">
        <f t="shared" si="66"/>
        <v>587.53579500000001</v>
      </c>
      <c r="L100" s="2">
        <f t="shared" si="66"/>
        <v>979.22632500000009</v>
      </c>
      <c r="M100" s="2">
        <f t="shared" si="66"/>
        <v>2937.6789750000003</v>
      </c>
      <c r="N100" s="2">
        <f t="shared" si="66"/>
        <v>11750.715900000003</v>
      </c>
    </row>
    <row r="101" spans="1:14" outlineLevel="1">
      <c r="A101" s="4" t="s">
        <v>87</v>
      </c>
      <c r="B101" s="4" t="s">
        <v>18</v>
      </c>
      <c r="H101" s="4">
        <v>26.850999999999999</v>
      </c>
      <c r="I101" s="4">
        <v>37.725000000000001</v>
      </c>
      <c r="J101" s="2">
        <f>J19</f>
        <v>37.725000000000001</v>
      </c>
      <c r="K101" s="2">
        <f t="shared" ref="K101:N101" si="67">K19</f>
        <v>37.725000000000001</v>
      </c>
      <c r="L101" s="2">
        <f t="shared" si="67"/>
        <v>37.725000000000001</v>
      </c>
      <c r="M101" s="2">
        <f t="shared" si="67"/>
        <v>37.725000000000001</v>
      </c>
      <c r="N101" s="2">
        <f t="shared" si="67"/>
        <v>37.725000000000001</v>
      </c>
    </row>
    <row r="102" spans="1:14" outlineLevel="1">
      <c r="A102" s="4" t="s">
        <v>88</v>
      </c>
      <c r="B102" s="4" t="s">
        <v>19</v>
      </c>
      <c r="H102" s="4">
        <v>24.978000000000002</v>
      </c>
      <c r="I102" s="4">
        <v>23.689</v>
      </c>
      <c r="J102" s="2">
        <f t="shared" ref="J102:N102" si="68">J20</f>
        <v>200</v>
      </c>
      <c r="K102" s="2">
        <f t="shared" si="68"/>
        <v>240</v>
      </c>
      <c r="L102" s="2">
        <f t="shared" si="68"/>
        <v>640</v>
      </c>
      <c r="M102" s="2">
        <f t="shared" si="68"/>
        <v>640</v>
      </c>
      <c r="N102" s="2">
        <f t="shared" si="68"/>
        <v>640</v>
      </c>
    </row>
    <row r="103" spans="1:14" outlineLevel="1">
      <c r="A103" s="4" t="s">
        <v>89</v>
      </c>
      <c r="B103" s="4" t="s">
        <v>20</v>
      </c>
      <c r="H103" s="4">
        <v>0</v>
      </c>
      <c r="I103" s="4">
        <v>0</v>
      </c>
      <c r="J103" s="2">
        <f t="shared" ref="J103:N103" si="69">J21</f>
        <v>0</v>
      </c>
      <c r="K103" s="2">
        <f t="shared" si="69"/>
        <v>0</v>
      </c>
      <c r="L103" s="2">
        <f t="shared" si="69"/>
        <v>0</v>
      </c>
      <c r="M103" s="2">
        <f t="shared" si="69"/>
        <v>0</v>
      </c>
      <c r="N103" s="2">
        <f t="shared" si="69"/>
        <v>0</v>
      </c>
    </row>
    <row r="104" spans="1:14" outlineLevel="1">
      <c r="A104" s="4" t="s">
        <v>90</v>
      </c>
      <c r="B104" s="4" t="s">
        <v>21</v>
      </c>
      <c r="H104" s="4">
        <v>1.716</v>
      </c>
      <c r="I104" s="4">
        <v>2.427</v>
      </c>
      <c r="J104" s="2">
        <f>+J22*J139</f>
        <v>5.5000000000000005E-3</v>
      </c>
      <c r="K104" s="2">
        <f>+K22*K139</f>
        <v>8.2500000000000021E-3</v>
      </c>
      <c r="L104" s="2">
        <f>+L22*L139</f>
        <v>1.6500000000000004E-2</v>
      </c>
      <c r="M104" s="2">
        <f>+M22*M139</f>
        <v>4.9500000000000009E-2</v>
      </c>
      <c r="N104" s="2">
        <f>+N22*N139</f>
        <v>0.24750000000000005</v>
      </c>
    </row>
    <row r="105" spans="1:14" outlineLevel="1">
      <c r="A105" s="4">
        <v>11</v>
      </c>
      <c r="B105" s="4" t="s">
        <v>91</v>
      </c>
      <c r="H105" s="4">
        <v>0.66400000000000003</v>
      </c>
      <c r="I105" s="4">
        <v>1.3859999999999999</v>
      </c>
      <c r="J105" s="2">
        <f>-(J132-I132)</f>
        <v>-2.1232000000000042</v>
      </c>
      <c r="K105" s="2">
        <f t="shared" ref="K105:N105" si="70">-(K132-J132)</f>
        <v>-11.677599999999998</v>
      </c>
      <c r="L105" s="2">
        <f t="shared" si="70"/>
        <v>-35.032800000000002</v>
      </c>
      <c r="M105" s="2">
        <f t="shared" si="70"/>
        <v>-140.13120000000004</v>
      </c>
      <c r="N105" s="2">
        <f t="shared" si="70"/>
        <v>-840.7872000000001</v>
      </c>
    </row>
    <row r="106" spans="1:14" outlineLevel="1">
      <c r="A106" s="4">
        <v>12</v>
      </c>
      <c r="B106" s="4" t="s">
        <v>92</v>
      </c>
      <c r="H106" s="4">
        <v>0</v>
      </c>
      <c r="I106" s="4">
        <v>0</v>
      </c>
      <c r="J106" s="2">
        <f t="shared" ref="J106:N108" si="71">J$91*J30</f>
        <v>0</v>
      </c>
      <c r="K106" s="2">
        <f t="shared" si="71"/>
        <v>0</v>
      </c>
      <c r="L106" s="2">
        <f t="shared" si="71"/>
        <v>0</v>
      </c>
      <c r="M106" s="2">
        <f t="shared" si="71"/>
        <v>0</v>
      </c>
      <c r="N106" s="2">
        <f t="shared" si="71"/>
        <v>0</v>
      </c>
    </row>
    <row r="107" spans="1:14" outlineLevel="1">
      <c r="A107" s="4">
        <v>13</v>
      </c>
      <c r="B107" s="4" t="s">
        <v>93</v>
      </c>
      <c r="H107" s="4">
        <v>0</v>
      </c>
      <c r="I107" s="4">
        <v>0</v>
      </c>
      <c r="J107" s="2">
        <f t="shared" si="71"/>
        <v>0</v>
      </c>
      <c r="K107" s="2">
        <f t="shared" si="71"/>
        <v>0</v>
      </c>
      <c r="L107" s="2">
        <f t="shared" si="71"/>
        <v>0</v>
      </c>
      <c r="M107" s="2">
        <f t="shared" si="71"/>
        <v>0</v>
      </c>
      <c r="N107" s="2">
        <f t="shared" si="71"/>
        <v>0</v>
      </c>
    </row>
    <row r="108" spans="1:14" outlineLevel="1">
      <c r="A108" s="4">
        <v>14</v>
      </c>
      <c r="B108" s="19" t="s">
        <v>94</v>
      </c>
      <c r="C108" s="19"/>
      <c r="D108" s="20"/>
      <c r="E108" s="19"/>
      <c r="F108" s="19"/>
      <c r="G108" s="19"/>
      <c r="H108" s="19">
        <v>38.835999999999999</v>
      </c>
      <c r="I108" s="19">
        <v>19.818999999999999</v>
      </c>
      <c r="J108" s="38">
        <f t="shared" si="71"/>
        <v>21.800899999999999</v>
      </c>
      <c r="K108" s="38">
        <f t="shared" si="71"/>
        <v>32.701349999999998</v>
      </c>
      <c r="L108" s="38">
        <f t="shared" si="71"/>
        <v>65.402699999999996</v>
      </c>
      <c r="M108" s="38">
        <f t="shared" si="71"/>
        <v>196.20809999999997</v>
      </c>
      <c r="N108" s="38">
        <f t="shared" si="71"/>
        <v>981.04049999999995</v>
      </c>
    </row>
    <row r="109" spans="1:14" outlineLevel="1">
      <c r="B109" s="26" t="s">
        <v>95</v>
      </c>
      <c r="C109" s="26"/>
      <c r="D109" s="27"/>
      <c r="E109" s="26">
        <f t="shared" ref="E109:N109" si="72">SUM(E97:E108)</f>
        <v>0</v>
      </c>
      <c r="F109" s="26">
        <f t="shared" si="72"/>
        <v>0</v>
      </c>
      <c r="G109" s="26">
        <f t="shared" si="72"/>
        <v>0</v>
      </c>
      <c r="H109" s="26">
        <f t="shared" si="72"/>
        <v>1091.7629999999999</v>
      </c>
      <c r="I109" s="26">
        <f t="shared" si="72"/>
        <v>1167.0329999999999</v>
      </c>
      <c r="J109" s="26">
        <f t="shared" si="72"/>
        <v>1447.5939000000001</v>
      </c>
      <c r="K109" s="26">
        <f t="shared" si="72"/>
        <v>1935.0748700000001</v>
      </c>
      <c r="L109" s="26">
        <f t="shared" si="72"/>
        <v>3706.5637690000003</v>
      </c>
      <c r="M109" s="26">
        <f t="shared" si="72"/>
        <v>9259.1798710000003</v>
      </c>
      <c r="N109" s="26">
        <f t="shared" si="72"/>
        <v>38157.046000000009</v>
      </c>
    </row>
    <row r="110" spans="1:14" outlineLevel="1">
      <c r="B110" s="26" t="s">
        <v>96</v>
      </c>
      <c r="C110" s="26"/>
      <c r="D110" s="27"/>
      <c r="E110" s="26">
        <f t="shared" ref="E110:N110" si="73">+E96-E109</f>
        <v>0</v>
      </c>
      <c r="F110" s="26">
        <f t="shared" si="73"/>
        <v>0</v>
      </c>
      <c r="G110" s="26">
        <f t="shared" si="73"/>
        <v>0</v>
      </c>
      <c r="H110" s="26">
        <f t="shared" si="73"/>
        <v>33.733999999999924</v>
      </c>
      <c r="I110" s="26">
        <f t="shared" si="73"/>
        <v>28.299000000000206</v>
      </c>
      <c r="J110" s="26">
        <f t="shared" si="73"/>
        <v>-132.72869999999989</v>
      </c>
      <c r="K110" s="26">
        <f t="shared" si="73"/>
        <v>37.222930000000133</v>
      </c>
      <c r="L110" s="26">
        <f t="shared" si="73"/>
        <v>238.03183100000024</v>
      </c>
      <c r="M110" s="26">
        <f t="shared" si="73"/>
        <v>2574.6069290000014</v>
      </c>
      <c r="N110" s="26">
        <f t="shared" si="73"/>
        <v>21011.887999999999</v>
      </c>
    </row>
    <row r="111" spans="1:14" outlineLevel="1">
      <c r="A111" s="4">
        <v>15</v>
      </c>
      <c r="B111" s="4" t="s">
        <v>30</v>
      </c>
      <c r="H111" s="4">
        <v>0</v>
      </c>
      <c r="I111" s="4">
        <v>0</v>
      </c>
      <c r="J111" s="2">
        <f t="shared" ref="J111:N112" si="74">+J34</f>
        <v>0</v>
      </c>
      <c r="K111" s="2">
        <f t="shared" si="74"/>
        <v>0</v>
      </c>
      <c r="L111" s="2">
        <f t="shared" si="74"/>
        <v>0</v>
      </c>
      <c r="M111" s="2">
        <f t="shared" si="74"/>
        <v>0</v>
      </c>
      <c r="N111" s="2">
        <f t="shared" si="74"/>
        <v>0</v>
      </c>
    </row>
    <row r="112" spans="1:14" outlineLevel="1">
      <c r="A112" s="4">
        <v>16</v>
      </c>
      <c r="B112" s="4" t="s">
        <v>31</v>
      </c>
      <c r="H112" s="4">
        <v>1.052</v>
      </c>
      <c r="I112" s="4">
        <v>0.71699999999999997</v>
      </c>
      <c r="J112" s="2">
        <f t="shared" si="74"/>
        <v>0</v>
      </c>
      <c r="K112" s="2">
        <f t="shared" si="74"/>
        <v>0</v>
      </c>
      <c r="L112" s="2">
        <f t="shared" si="74"/>
        <v>0</v>
      </c>
      <c r="M112" s="2">
        <f t="shared" si="74"/>
        <v>0</v>
      </c>
      <c r="N112" s="2">
        <f t="shared" si="74"/>
        <v>0</v>
      </c>
    </row>
    <row r="113" spans="1:14" outlineLevel="1">
      <c r="A113" s="4">
        <v>17</v>
      </c>
      <c r="B113" s="4" t="s">
        <v>97</v>
      </c>
      <c r="H113" s="4">
        <v>-27.361000000000001</v>
      </c>
      <c r="I113" s="4">
        <v>-22.009</v>
      </c>
      <c r="J113" s="2">
        <f>+J279</f>
        <v>-22.009</v>
      </c>
      <c r="K113" s="2">
        <f t="shared" ref="K113:M113" si="75">+K279</f>
        <v>-22.009</v>
      </c>
      <c r="L113" s="2">
        <f t="shared" si="75"/>
        <v>-22.009</v>
      </c>
      <c r="M113" s="2">
        <f t="shared" si="75"/>
        <v>-22.009</v>
      </c>
      <c r="N113" s="2">
        <f>+N279</f>
        <v>-22.009</v>
      </c>
    </row>
    <row r="114" spans="1:14" outlineLevel="1">
      <c r="A114" s="4" t="s">
        <v>98</v>
      </c>
      <c r="B114" s="4" t="s">
        <v>33</v>
      </c>
      <c r="H114" s="4">
        <v>0</v>
      </c>
      <c r="I114" s="4">
        <v>0</v>
      </c>
      <c r="J114" s="2">
        <f t="shared" ref="J114:N116" si="76">+J37</f>
        <v>0</v>
      </c>
      <c r="K114" s="2">
        <f t="shared" si="76"/>
        <v>0</v>
      </c>
      <c r="L114" s="2">
        <f t="shared" si="76"/>
        <v>0</v>
      </c>
      <c r="M114" s="2">
        <f t="shared" si="76"/>
        <v>0</v>
      </c>
      <c r="N114" s="2">
        <f t="shared" si="76"/>
        <v>0</v>
      </c>
    </row>
    <row r="115" spans="1:14" outlineLevel="1">
      <c r="A115" s="4">
        <v>18</v>
      </c>
      <c r="B115" s="4" t="s">
        <v>34</v>
      </c>
      <c r="H115" s="4">
        <v>0</v>
      </c>
      <c r="I115" s="4">
        <v>0</v>
      </c>
      <c r="J115" s="2">
        <f t="shared" si="76"/>
        <v>0</v>
      </c>
      <c r="K115" s="2">
        <f t="shared" si="76"/>
        <v>0</v>
      </c>
      <c r="L115" s="2">
        <f t="shared" si="76"/>
        <v>0</v>
      </c>
      <c r="M115" s="2">
        <f t="shared" si="76"/>
        <v>0</v>
      </c>
      <c r="N115" s="2">
        <f t="shared" si="76"/>
        <v>0</v>
      </c>
    </row>
    <row r="116" spans="1:14" outlineLevel="1">
      <c r="A116" s="4">
        <v>19</v>
      </c>
      <c r="B116" s="19" t="s">
        <v>35</v>
      </c>
      <c r="C116" s="19"/>
      <c r="D116" s="20"/>
      <c r="E116" s="19"/>
      <c r="F116" s="19"/>
      <c r="G116" s="19"/>
      <c r="H116" s="19">
        <v>-2</v>
      </c>
      <c r="I116" s="19">
        <v>0</v>
      </c>
      <c r="J116" s="38">
        <f t="shared" si="76"/>
        <v>0</v>
      </c>
      <c r="K116" s="38">
        <f t="shared" si="76"/>
        <v>0</v>
      </c>
      <c r="L116" s="38">
        <f t="shared" si="76"/>
        <v>0</v>
      </c>
      <c r="M116" s="38">
        <f t="shared" si="76"/>
        <v>0</v>
      </c>
      <c r="N116" s="38">
        <f t="shared" si="76"/>
        <v>0</v>
      </c>
    </row>
    <row r="117" spans="1:14" outlineLevel="1">
      <c r="B117" s="26" t="s">
        <v>99</v>
      </c>
      <c r="C117" s="26"/>
      <c r="D117" s="27"/>
      <c r="E117" s="26"/>
      <c r="F117" s="26"/>
      <c r="G117" s="26"/>
      <c r="H117" s="26">
        <f>SUM(H111:H116)</f>
        <v>-28.309000000000001</v>
      </c>
      <c r="I117" s="26">
        <f>SUM(I111:I116)</f>
        <v>-21.292000000000002</v>
      </c>
      <c r="J117" s="26">
        <f t="shared" ref="J117:N117" si="77">SUM(J111:J116)</f>
        <v>-22.009</v>
      </c>
      <c r="K117" s="26">
        <f t="shared" si="77"/>
        <v>-22.009</v>
      </c>
      <c r="L117" s="26">
        <f t="shared" si="77"/>
        <v>-22.009</v>
      </c>
      <c r="M117" s="26">
        <f t="shared" si="77"/>
        <v>-22.009</v>
      </c>
      <c r="N117" s="26">
        <f t="shared" si="77"/>
        <v>-22.009</v>
      </c>
    </row>
    <row r="118" spans="1:14" outlineLevel="1">
      <c r="B118" s="26" t="s">
        <v>100</v>
      </c>
      <c r="C118" s="26"/>
      <c r="D118" s="27"/>
      <c r="E118" s="26"/>
      <c r="F118" s="26"/>
      <c r="G118" s="26"/>
      <c r="H118" s="26">
        <f>+H110+H117</f>
        <v>5.4249999999999226</v>
      </c>
      <c r="I118" s="26">
        <f>+I110+I117</f>
        <v>7.007000000000204</v>
      </c>
      <c r="J118" s="26">
        <f t="shared" ref="J118:N118" si="78">+J110+J117</f>
        <v>-154.7376999999999</v>
      </c>
      <c r="K118" s="26">
        <f t="shared" si="78"/>
        <v>15.213930000000133</v>
      </c>
      <c r="L118" s="26">
        <f t="shared" si="78"/>
        <v>216.02283100000022</v>
      </c>
      <c r="M118" s="26">
        <f t="shared" si="78"/>
        <v>2552.5979290000014</v>
      </c>
      <c r="N118" s="26">
        <f t="shared" si="78"/>
        <v>20989.879000000001</v>
      </c>
    </row>
    <row r="119" spans="1:14" outlineLevel="1">
      <c r="A119" s="4">
        <v>20</v>
      </c>
      <c r="B119" s="4" t="s">
        <v>101</v>
      </c>
      <c r="H119" s="4">
        <v>-5.17</v>
      </c>
      <c r="I119" s="4">
        <v>-6.15</v>
      </c>
      <c r="J119" s="2">
        <f>J118*J41</f>
        <v>77.368849999999952</v>
      </c>
      <c r="K119" s="2">
        <f>K118*K41</f>
        <v>-7.6069650000000664</v>
      </c>
      <c r="L119" s="2">
        <f>L118*L41</f>
        <v>-108.01141550000011</v>
      </c>
      <c r="M119" s="2">
        <f>M118*M41</f>
        <v>-1276.2989645000007</v>
      </c>
      <c r="N119" s="2">
        <f>N118*N41</f>
        <v>-10494.9395</v>
      </c>
    </row>
    <row r="120" spans="1:14" ht="16.149999999999999" outlineLevel="1" thickBot="1">
      <c r="B120" s="22" t="s">
        <v>102</v>
      </c>
      <c r="C120" s="22"/>
      <c r="D120" s="23"/>
      <c r="E120" s="22"/>
      <c r="F120" s="22"/>
      <c r="G120" s="22"/>
      <c r="H120" s="22">
        <f>+H118+H119</f>
        <v>0.25499999999992262</v>
      </c>
      <c r="I120" s="22">
        <f>+I118+I119</f>
        <v>0.8570000000002036</v>
      </c>
      <c r="J120" s="22">
        <f t="shared" ref="J120:N120" si="79">+J118+J119</f>
        <v>-77.368849999999952</v>
      </c>
      <c r="K120" s="22">
        <f t="shared" si="79"/>
        <v>7.6069650000000664</v>
      </c>
      <c r="L120" s="22">
        <f t="shared" si="79"/>
        <v>108.01141550000011</v>
      </c>
      <c r="M120" s="22">
        <f t="shared" si="79"/>
        <v>1276.2989645000007</v>
      </c>
      <c r="N120" s="22">
        <f t="shared" si="79"/>
        <v>10494.9395</v>
      </c>
    </row>
    <row r="121" spans="1:14" ht="16.149999999999999" outlineLevel="1" thickTop="1">
      <c r="B121" s="5"/>
      <c r="C121" s="5"/>
      <c r="D121" s="17"/>
      <c r="E121" s="18"/>
      <c r="F121" s="18"/>
      <c r="G121" s="18"/>
      <c r="H121" s="18"/>
      <c r="I121" s="18"/>
      <c r="J121" s="1"/>
      <c r="K121" s="1"/>
      <c r="L121" s="1"/>
      <c r="M121" s="1"/>
      <c r="N121" s="1"/>
    </row>
    <row r="122" spans="1:14" outlineLevel="1">
      <c r="B122" s="5" t="s">
        <v>103</v>
      </c>
      <c r="C122" s="5"/>
      <c r="D122" s="17"/>
      <c r="E122" s="18"/>
      <c r="F122" s="18"/>
      <c r="G122" s="18"/>
      <c r="H122" s="5">
        <f>H110+H101+H102+H103</f>
        <v>85.562999999999931</v>
      </c>
      <c r="I122" s="5">
        <f t="shared" ref="I122:N122" si="80">I110+I101+I102+I103</f>
        <v>89.713000000000193</v>
      </c>
      <c r="J122" s="5">
        <f t="shared" si="80"/>
        <v>104.9963000000001</v>
      </c>
      <c r="K122" s="5">
        <f t="shared" si="80"/>
        <v>314.94793000000016</v>
      </c>
      <c r="L122" s="5">
        <f t="shared" si="80"/>
        <v>915.75683100000026</v>
      </c>
      <c r="M122" s="5">
        <f t="shared" si="80"/>
        <v>3252.3319290000013</v>
      </c>
      <c r="N122" s="5">
        <f t="shared" si="80"/>
        <v>21689.612999999998</v>
      </c>
    </row>
    <row r="123" spans="1:14">
      <c r="E123" s="7"/>
      <c r="F123" s="7"/>
      <c r="G123" s="7"/>
      <c r="H123" s="7"/>
      <c r="I123" s="7"/>
    </row>
    <row r="124" spans="1:14" ht="20.45">
      <c r="B124" s="54" t="s">
        <v>104</v>
      </c>
      <c r="C124" s="55"/>
      <c r="D124" s="56"/>
      <c r="E124" s="55"/>
      <c r="F124" s="55"/>
      <c r="G124" s="55"/>
      <c r="H124" s="55"/>
      <c r="I124" s="55"/>
      <c r="J124" s="55"/>
      <c r="K124" s="55"/>
      <c r="L124" s="55"/>
      <c r="M124" s="55"/>
      <c r="N124" s="55"/>
    </row>
    <row r="125" spans="1:14" outlineLevel="1">
      <c r="E125" s="7"/>
      <c r="F125" s="7"/>
      <c r="G125" s="7"/>
      <c r="H125" s="7"/>
      <c r="I125" s="7"/>
    </row>
    <row r="126" spans="1:14" outlineLevel="1">
      <c r="B126" s="34" t="s">
        <v>105</v>
      </c>
      <c r="C126" s="19"/>
      <c r="D126" s="20"/>
      <c r="E126" s="21"/>
      <c r="F126" s="21"/>
      <c r="G126" s="21"/>
      <c r="H126" s="21"/>
      <c r="I126" s="21"/>
      <c r="J126" s="19"/>
      <c r="K126" s="19"/>
      <c r="L126" s="19"/>
      <c r="M126" s="19"/>
      <c r="N126" s="19"/>
    </row>
    <row r="127" spans="1:14" outlineLevel="1">
      <c r="A127" s="4">
        <v>100</v>
      </c>
      <c r="B127" s="36" t="s">
        <v>37</v>
      </c>
      <c r="C127" s="36"/>
      <c r="D127" s="37"/>
      <c r="E127" s="36"/>
      <c r="F127" s="36"/>
      <c r="G127" s="36"/>
      <c r="H127" s="36">
        <v>0</v>
      </c>
      <c r="I127" s="36">
        <v>0</v>
      </c>
      <c r="J127" s="36">
        <f>+J43</f>
        <v>0</v>
      </c>
      <c r="K127" s="36">
        <f>+K43</f>
        <v>0</v>
      </c>
      <c r="L127" s="36">
        <f>+L43</f>
        <v>0</v>
      </c>
      <c r="M127" s="36">
        <f>+M43</f>
        <v>0</v>
      </c>
      <c r="N127" s="36">
        <f>+N43</f>
        <v>0</v>
      </c>
    </row>
    <row r="128" spans="1:14" outlineLevel="1">
      <c r="A128" s="4">
        <v>110</v>
      </c>
      <c r="B128" s="4" t="s">
        <v>23</v>
      </c>
      <c r="H128" s="4">
        <v>348.05200000000002</v>
      </c>
      <c r="I128" s="4">
        <v>333.31700000000001</v>
      </c>
      <c r="J128" s="4">
        <f>+J256</f>
        <v>333.31700000000001</v>
      </c>
      <c r="K128" s="4">
        <f t="shared" ref="K128:N128" si="81">+K256</f>
        <v>333.31700000000001</v>
      </c>
      <c r="L128" s="4">
        <f t="shared" si="81"/>
        <v>333.31700000000001</v>
      </c>
      <c r="M128" s="4">
        <f t="shared" si="81"/>
        <v>333.31700000000001</v>
      </c>
      <c r="N128" s="4">
        <f t="shared" si="81"/>
        <v>333.31700000000001</v>
      </c>
    </row>
    <row r="129" spans="1:14" outlineLevel="1">
      <c r="A129" s="4">
        <v>120</v>
      </c>
      <c r="B129" s="4" t="s">
        <v>24</v>
      </c>
      <c r="H129" s="4">
        <v>160.95699999999999</v>
      </c>
      <c r="I129" s="4">
        <v>142.529</v>
      </c>
      <c r="J129" s="4">
        <f>+J257</f>
        <v>942.529</v>
      </c>
      <c r="K129" s="4">
        <f t="shared" ref="K129:N129" si="82">+K257</f>
        <v>902.529</v>
      </c>
      <c r="L129" s="4">
        <f t="shared" si="82"/>
        <v>2262.529</v>
      </c>
      <c r="M129" s="4">
        <f t="shared" si="82"/>
        <v>2122.529</v>
      </c>
      <c r="N129" s="4">
        <f t="shared" si="82"/>
        <v>1982.529</v>
      </c>
    </row>
    <row r="130" spans="1:14" outlineLevel="1">
      <c r="A130" s="4">
        <v>130</v>
      </c>
      <c r="B130" s="4" t="s">
        <v>25</v>
      </c>
      <c r="H130" s="4">
        <v>0</v>
      </c>
      <c r="I130" s="4">
        <v>0</v>
      </c>
      <c r="J130" s="4">
        <f>+J258</f>
        <v>0</v>
      </c>
      <c r="K130" s="4">
        <f t="shared" ref="K130:N130" si="83">+K258</f>
        <v>0</v>
      </c>
      <c r="L130" s="4">
        <f t="shared" si="83"/>
        <v>0</v>
      </c>
      <c r="M130" s="4">
        <f t="shared" si="83"/>
        <v>0</v>
      </c>
      <c r="N130" s="4">
        <f t="shared" si="83"/>
        <v>0</v>
      </c>
    </row>
    <row r="131" spans="1:14" outlineLevel="1">
      <c r="B131" s="36" t="s">
        <v>106</v>
      </c>
      <c r="C131" s="36"/>
      <c r="D131" s="37"/>
      <c r="E131" s="36"/>
      <c r="F131" s="36"/>
      <c r="G131" s="36"/>
      <c r="H131" s="36">
        <f>SUM(H128:H130)</f>
        <v>509.00900000000001</v>
      </c>
      <c r="I131" s="36">
        <f t="shared" ref="I131:N131" si="84">SUM(I128:I130)</f>
        <v>475.846</v>
      </c>
      <c r="J131" s="36">
        <f t="shared" si="84"/>
        <v>1275.846</v>
      </c>
      <c r="K131" s="36">
        <f t="shared" si="84"/>
        <v>1235.846</v>
      </c>
      <c r="L131" s="36">
        <f t="shared" si="84"/>
        <v>2595.846</v>
      </c>
      <c r="M131" s="36">
        <f t="shared" si="84"/>
        <v>2455.846</v>
      </c>
      <c r="N131" s="36">
        <f t="shared" si="84"/>
        <v>2315.846</v>
      </c>
    </row>
    <row r="132" spans="1:14" outlineLevel="1">
      <c r="A132" s="4">
        <v>141</v>
      </c>
      <c r="B132" s="4" t="s">
        <v>107</v>
      </c>
      <c r="H132" s="4">
        <v>22.617999999999999</v>
      </c>
      <c r="I132" s="4">
        <v>21.231999999999999</v>
      </c>
      <c r="J132" s="4">
        <f>J$97*J47/365</f>
        <v>23.355200000000004</v>
      </c>
      <c r="K132" s="4">
        <f>K$97*K47/365</f>
        <v>35.032800000000002</v>
      </c>
      <c r="L132" s="4">
        <f>L$97*L47/365</f>
        <v>70.065600000000003</v>
      </c>
      <c r="M132" s="4">
        <f>M$97*M47/365</f>
        <v>210.19680000000002</v>
      </c>
      <c r="N132" s="4">
        <f>N$97*N47/365</f>
        <v>1050.9840000000002</v>
      </c>
    </row>
    <row r="133" spans="1:14" outlineLevel="1">
      <c r="A133" s="4">
        <v>142</v>
      </c>
      <c r="B133" s="4" t="s">
        <v>108</v>
      </c>
      <c r="H133" s="4">
        <v>0</v>
      </c>
      <c r="I133" s="4">
        <v>0</v>
      </c>
      <c r="J133" s="4">
        <f t="shared" ref="J133:N135" si="85">J$91*J48/365</f>
        <v>0</v>
      </c>
      <c r="K133" s="4">
        <f t="shared" si="85"/>
        <v>0</v>
      </c>
      <c r="L133" s="4">
        <f t="shared" si="85"/>
        <v>0</v>
      </c>
      <c r="M133" s="4">
        <f t="shared" si="85"/>
        <v>0</v>
      </c>
      <c r="N133" s="4">
        <f t="shared" si="85"/>
        <v>0</v>
      </c>
    </row>
    <row r="134" spans="1:14" outlineLevel="1">
      <c r="A134" s="4">
        <v>143</v>
      </c>
      <c r="B134" s="4" t="s">
        <v>109</v>
      </c>
      <c r="H134" s="4">
        <v>0</v>
      </c>
      <c r="I134" s="4">
        <v>0</v>
      </c>
      <c r="J134" s="4">
        <f t="shared" si="85"/>
        <v>0</v>
      </c>
      <c r="K134" s="4">
        <f t="shared" si="85"/>
        <v>0</v>
      </c>
      <c r="L134" s="4">
        <f t="shared" si="85"/>
        <v>0</v>
      </c>
      <c r="M134" s="4">
        <f t="shared" si="85"/>
        <v>0</v>
      </c>
      <c r="N134" s="4">
        <f t="shared" si="85"/>
        <v>0</v>
      </c>
    </row>
    <row r="135" spans="1:14" outlineLevel="1">
      <c r="A135" s="4">
        <v>144</v>
      </c>
      <c r="B135" s="4" t="s">
        <v>110</v>
      </c>
      <c r="H135" s="4">
        <v>0</v>
      </c>
      <c r="I135" s="4">
        <v>0</v>
      </c>
      <c r="J135" s="4">
        <f t="shared" si="85"/>
        <v>0</v>
      </c>
      <c r="K135" s="4">
        <f t="shared" si="85"/>
        <v>0</v>
      </c>
      <c r="L135" s="4">
        <f t="shared" si="85"/>
        <v>0</v>
      </c>
      <c r="M135" s="4">
        <f t="shared" si="85"/>
        <v>0</v>
      </c>
      <c r="N135" s="4">
        <f t="shared" si="85"/>
        <v>0</v>
      </c>
    </row>
    <row r="136" spans="1:14" outlineLevel="1">
      <c r="A136" s="4">
        <v>145</v>
      </c>
      <c r="B136" s="4" t="s">
        <v>111</v>
      </c>
      <c r="H136" s="4">
        <v>0</v>
      </c>
      <c r="I136" s="4">
        <v>0</v>
      </c>
      <c r="J136" s="4">
        <f>J$97*J51/365</f>
        <v>0</v>
      </c>
      <c r="K136" s="4">
        <f>K$97*K51/365</f>
        <v>0</v>
      </c>
      <c r="L136" s="4">
        <f>L$97*L51/365</f>
        <v>0</v>
      </c>
      <c r="M136" s="4">
        <f>M$97*M51/365</f>
        <v>0</v>
      </c>
      <c r="N136" s="4">
        <f>N$97*N51/365</f>
        <v>0</v>
      </c>
    </row>
    <row r="137" spans="1:14" outlineLevel="1">
      <c r="B137" s="36" t="s">
        <v>112</v>
      </c>
      <c r="C137" s="36"/>
      <c r="D137" s="37"/>
      <c r="E137" s="36"/>
      <c r="F137" s="36"/>
      <c r="G137" s="36"/>
      <c r="H137" s="36">
        <f>SUM(H132:H136)</f>
        <v>22.617999999999999</v>
      </c>
      <c r="I137" s="36">
        <f t="shared" ref="I137:N137" si="86">SUM(I132:I136)</f>
        <v>21.231999999999999</v>
      </c>
      <c r="J137" s="36">
        <f t="shared" si="86"/>
        <v>23.355200000000004</v>
      </c>
      <c r="K137" s="36">
        <f t="shared" si="86"/>
        <v>35.032800000000002</v>
      </c>
      <c r="L137" s="36">
        <f t="shared" si="86"/>
        <v>70.065600000000003</v>
      </c>
      <c r="M137" s="36">
        <f t="shared" si="86"/>
        <v>210.19680000000002</v>
      </c>
      <c r="N137" s="36">
        <f t="shared" si="86"/>
        <v>1050.9840000000002</v>
      </c>
    </row>
    <row r="138" spans="1:14" outlineLevel="1">
      <c r="A138" s="4">
        <v>150</v>
      </c>
      <c r="B138" s="36" t="s">
        <v>43</v>
      </c>
      <c r="C138" s="36"/>
      <c r="D138" s="37"/>
      <c r="E138" s="36"/>
      <c r="F138" s="36"/>
      <c r="G138" s="36"/>
      <c r="H138" s="36">
        <v>0</v>
      </c>
      <c r="I138" s="36">
        <v>0</v>
      </c>
      <c r="J138" s="36">
        <f>+J52</f>
        <v>0</v>
      </c>
      <c r="K138" s="36">
        <f>+K52</f>
        <v>0</v>
      </c>
      <c r="L138" s="36">
        <f>+L52</f>
        <v>0</v>
      </c>
      <c r="M138" s="36">
        <f>+M52</f>
        <v>0</v>
      </c>
      <c r="N138" s="36">
        <f>+N52</f>
        <v>0</v>
      </c>
    </row>
    <row r="139" spans="1:14" outlineLevel="1">
      <c r="A139" s="4">
        <v>161</v>
      </c>
      <c r="B139" s="4" t="s">
        <v>113</v>
      </c>
      <c r="H139" s="4">
        <v>1</v>
      </c>
      <c r="I139" s="4">
        <v>1</v>
      </c>
      <c r="J139" s="4">
        <f>J$91*J53/365</f>
        <v>1.1000000000000001</v>
      </c>
      <c r="K139" s="4">
        <f>K$91*K53/365</f>
        <v>1.6500000000000004</v>
      </c>
      <c r="L139" s="4">
        <f>L$91*L53/365</f>
        <v>3.3000000000000007</v>
      </c>
      <c r="M139" s="4">
        <f>M$91*M53/365</f>
        <v>9.9000000000000021</v>
      </c>
      <c r="N139" s="4">
        <f>N$91*N53/365</f>
        <v>49.500000000000007</v>
      </c>
    </row>
    <row r="140" spans="1:14" outlineLevel="1">
      <c r="A140" s="4">
        <v>162</v>
      </c>
      <c r="B140" s="4" t="s">
        <v>45</v>
      </c>
      <c r="H140" s="4">
        <v>0</v>
      </c>
      <c r="I140" s="4">
        <v>0</v>
      </c>
      <c r="J140" s="4">
        <f t="shared" ref="J140:N146" si="87">+J54</f>
        <v>0</v>
      </c>
      <c r="K140" s="4">
        <f t="shared" si="87"/>
        <v>0</v>
      </c>
      <c r="L140" s="4">
        <f t="shared" si="87"/>
        <v>0</v>
      </c>
      <c r="M140" s="4">
        <f t="shared" si="87"/>
        <v>0</v>
      </c>
      <c r="N140" s="4">
        <f t="shared" si="87"/>
        <v>0</v>
      </c>
    </row>
    <row r="141" spans="1:14" outlineLevel="1">
      <c r="A141" s="4">
        <v>163</v>
      </c>
      <c r="B141" s="4" t="s">
        <v>46</v>
      </c>
      <c r="H141" s="4">
        <v>0</v>
      </c>
      <c r="I141" s="4">
        <v>0</v>
      </c>
      <c r="J141" s="4">
        <f t="shared" si="87"/>
        <v>0</v>
      </c>
      <c r="K141" s="4">
        <f t="shared" si="87"/>
        <v>0</v>
      </c>
      <c r="L141" s="4">
        <f t="shared" si="87"/>
        <v>0</v>
      </c>
      <c r="M141" s="4">
        <f t="shared" si="87"/>
        <v>0</v>
      </c>
      <c r="N141" s="4">
        <f t="shared" si="87"/>
        <v>0</v>
      </c>
    </row>
    <row r="142" spans="1:14" outlineLevel="1">
      <c r="A142" s="4">
        <v>164</v>
      </c>
      <c r="B142" s="4" t="s">
        <v>47</v>
      </c>
      <c r="H142" s="4">
        <v>0</v>
      </c>
      <c r="I142" s="4">
        <v>0</v>
      </c>
      <c r="J142" s="4">
        <f t="shared" si="87"/>
        <v>0</v>
      </c>
      <c r="K142" s="4">
        <f t="shared" si="87"/>
        <v>0</v>
      </c>
      <c r="L142" s="4">
        <f t="shared" si="87"/>
        <v>0</v>
      </c>
      <c r="M142" s="4">
        <f t="shared" si="87"/>
        <v>0</v>
      </c>
      <c r="N142" s="4">
        <f t="shared" si="87"/>
        <v>0</v>
      </c>
    </row>
    <row r="143" spans="1:14" outlineLevel="1">
      <c r="A143" s="4">
        <v>165</v>
      </c>
      <c r="B143" s="4" t="s">
        <v>48</v>
      </c>
      <c r="H143" s="4">
        <v>0</v>
      </c>
      <c r="I143" s="4">
        <v>0</v>
      </c>
      <c r="J143" s="4">
        <f t="shared" si="87"/>
        <v>0</v>
      </c>
      <c r="K143" s="4">
        <f t="shared" si="87"/>
        <v>0</v>
      </c>
      <c r="L143" s="4">
        <f t="shared" si="87"/>
        <v>0</v>
      </c>
      <c r="M143" s="4">
        <f t="shared" si="87"/>
        <v>0</v>
      </c>
      <c r="N143" s="4">
        <f t="shared" si="87"/>
        <v>0</v>
      </c>
    </row>
    <row r="144" spans="1:14" outlineLevel="1">
      <c r="A144" s="4">
        <v>166</v>
      </c>
      <c r="B144" s="4" t="s">
        <v>49</v>
      </c>
      <c r="H144" s="4">
        <v>1</v>
      </c>
      <c r="I144" s="4">
        <v>1</v>
      </c>
      <c r="J144" s="4">
        <f t="shared" si="87"/>
        <v>1</v>
      </c>
      <c r="K144" s="4">
        <f t="shared" si="87"/>
        <v>1</v>
      </c>
      <c r="L144" s="4">
        <f t="shared" si="87"/>
        <v>1</v>
      </c>
      <c r="M144" s="4">
        <f t="shared" si="87"/>
        <v>1</v>
      </c>
      <c r="N144" s="4">
        <f t="shared" si="87"/>
        <v>1</v>
      </c>
    </row>
    <row r="145" spans="1:14" outlineLevel="1">
      <c r="A145" s="4">
        <v>167</v>
      </c>
      <c r="B145" s="4" t="s">
        <v>50</v>
      </c>
      <c r="H145" s="4">
        <v>5.952</v>
      </c>
      <c r="I145" s="4">
        <v>4.3079999999999998</v>
      </c>
      <c r="J145" s="4">
        <f t="shared" si="87"/>
        <v>4.3079999999999998</v>
      </c>
      <c r="K145" s="4">
        <f t="shared" si="87"/>
        <v>4.3079999999999998</v>
      </c>
      <c r="L145" s="4">
        <f t="shared" si="87"/>
        <v>4.3079999999999998</v>
      </c>
      <c r="M145" s="4">
        <f t="shared" si="87"/>
        <v>4.3079999999999998</v>
      </c>
      <c r="N145" s="4">
        <f t="shared" si="87"/>
        <v>4.3079999999999998</v>
      </c>
    </row>
    <row r="146" spans="1:14" outlineLevel="1">
      <c r="A146" s="4">
        <v>168</v>
      </c>
      <c r="B146" s="4" t="s">
        <v>51</v>
      </c>
      <c r="H146" s="4">
        <v>380.58100000000002</v>
      </c>
      <c r="I146" s="4">
        <v>510.20400000000001</v>
      </c>
      <c r="J146" s="4">
        <f t="shared" si="87"/>
        <v>510.20400000000001</v>
      </c>
      <c r="K146" s="4">
        <f t="shared" si="87"/>
        <v>510.20400000000001</v>
      </c>
      <c r="L146" s="4">
        <f t="shared" si="87"/>
        <v>510.20400000000001</v>
      </c>
      <c r="M146" s="4">
        <f t="shared" si="87"/>
        <v>510.20400000000001</v>
      </c>
      <c r="N146" s="4">
        <f t="shared" si="87"/>
        <v>510.20400000000001</v>
      </c>
    </row>
    <row r="147" spans="1:14" outlineLevel="1">
      <c r="B147" s="36" t="s">
        <v>114</v>
      </c>
      <c r="C147" s="36"/>
      <c r="D147" s="37"/>
      <c r="E147" s="36"/>
      <c r="F147" s="36"/>
      <c r="G147" s="36"/>
      <c r="H147" s="36">
        <f>SUM(H139:H146)</f>
        <v>388.53300000000002</v>
      </c>
      <c r="I147" s="36">
        <f t="shared" ref="I147:N147" si="88">SUM(I139:I146)</f>
        <v>516.51200000000006</v>
      </c>
      <c r="J147" s="36">
        <f t="shared" si="88"/>
        <v>516.61199999999997</v>
      </c>
      <c r="K147" s="36">
        <f t="shared" si="88"/>
        <v>517.16200000000003</v>
      </c>
      <c r="L147" s="36">
        <f t="shared" si="88"/>
        <v>518.81200000000001</v>
      </c>
      <c r="M147" s="36">
        <f t="shared" si="88"/>
        <v>525.41200000000003</v>
      </c>
      <c r="N147" s="36">
        <f t="shared" si="88"/>
        <v>565.01200000000006</v>
      </c>
    </row>
    <row r="148" spans="1:14" outlineLevel="1">
      <c r="A148" s="4">
        <v>170</v>
      </c>
      <c r="B148" s="36" t="s">
        <v>52</v>
      </c>
      <c r="C148" s="36"/>
      <c r="D148" s="37"/>
      <c r="E148" s="36"/>
      <c r="F148" s="36"/>
      <c r="G148" s="36"/>
      <c r="H148" s="36">
        <v>0</v>
      </c>
      <c r="I148" s="36">
        <v>0</v>
      </c>
      <c r="J148" s="36">
        <f>+J61</f>
        <v>0</v>
      </c>
      <c r="K148" s="36">
        <f>+K61</f>
        <v>0</v>
      </c>
      <c r="L148" s="36">
        <f>+L61</f>
        <v>0</v>
      </c>
      <c r="M148" s="36">
        <f>+M61</f>
        <v>0</v>
      </c>
      <c r="N148" s="36">
        <f>+N61</f>
        <v>0</v>
      </c>
    </row>
    <row r="149" spans="1:14" outlineLevel="1">
      <c r="A149" s="4">
        <v>180</v>
      </c>
      <c r="B149" s="36" t="s">
        <v>53</v>
      </c>
      <c r="C149" s="36"/>
      <c r="D149" s="37"/>
      <c r="E149" s="36"/>
      <c r="F149" s="36"/>
      <c r="G149" s="36"/>
      <c r="H149" s="36">
        <v>13.242000000000001</v>
      </c>
      <c r="I149" s="36">
        <v>16.181000000000001</v>
      </c>
      <c r="J149" s="36">
        <f>+J204</f>
        <v>-43.166049999999615</v>
      </c>
      <c r="K149" s="36">
        <f t="shared" ref="K149:N149" si="89">+K204</f>
        <v>32.683313633634953</v>
      </c>
      <c r="L149" s="36">
        <f t="shared" si="89"/>
        <v>346.45959806560586</v>
      </c>
      <c r="M149" s="36">
        <f t="shared" si="89"/>
        <v>1646.3287194868335</v>
      </c>
      <c r="N149" s="36">
        <f t="shared" si="89"/>
        <v>11470.487226384248</v>
      </c>
    </row>
    <row r="150" spans="1:14" outlineLevel="1">
      <c r="A150" s="4">
        <v>190</v>
      </c>
      <c r="B150" s="4" t="s">
        <v>115</v>
      </c>
      <c r="H150" s="4">
        <v>1.401</v>
      </c>
      <c r="I150" s="4">
        <v>2.3170000000000002</v>
      </c>
      <c r="J150" s="4">
        <f>+J63</f>
        <v>2.3170000000000002</v>
      </c>
      <c r="K150" s="4">
        <f>+K63</f>
        <v>2.3170000000000002</v>
      </c>
      <c r="L150" s="4">
        <f>+L63</f>
        <v>2.3170000000000002</v>
      </c>
      <c r="M150" s="4">
        <f>+M63</f>
        <v>2.3170000000000002</v>
      </c>
      <c r="N150" s="4">
        <f>+N63</f>
        <v>2.3170000000000002</v>
      </c>
    </row>
    <row r="151" spans="1:14" ht="16.149999999999999" outlineLevel="1" thickBot="1">
      <c r="B151" s="22" t="s">
        <v>116</v>
      </c>
      <c r="C151" s="22"/>
      <c r="D151" s="23"/>
      <c r="E151" s="22">
        <f t="shared" ref="E151:G151" si="90">+E127+E131+E137+E138+E147+E148+E149+E150</f>
        <v>0</v>
      </c>
      <c r="F151" s="22">
        <f t="shared" si="90"/>
        <v>0</v>
      </c>
      <c r="G151" s="22">
        <f t="shared" si="90"/>
        <v>0</v>
      </c>
      <c r="H151" s="22">
        <f>+H127+H131+H137+H138+H147+H148+H149+H150</f>
        <v>934.803</v>
      </c>
      <c r="I151" s="22">
        <f t="shared" ref="I151:N151" si="91">+I127+I131+I137+I138+I147+I148+I149+I150</f>
        <v>1032.088</v>
      </c>
      <c r="J151" s="22">
        <f t="shared" si="91"/>
        <v>1774.9641500000005</v>
      </c>
      <c r="K151" s="22">
        <f t="shared" si="91"/>
        <v>1823.041113633635</v>
      </c>
      <c r="L151" s="22">
        <f t="shared" si="91"/>
        <v>3533.5001980656057</v>
      </c>
      <c r="M151" s="22">
        <f t="shared" si="91"/>
        <v>4840.1005194868339</v>
      </c>
      <c r="N151" s="22">
        <f t="shared" si="91"/>
        <v>15404.646226384248</v>
      </c>
    </row>
    <row r="152" spans="1:14" ht="16.149999999999999" outlineLevel="1" thickTop="1">
      <c r="B152" s="14"/>
      <c r="C152" s="14"/>
      <c r="D152" s="8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outlineLevel="1">
      <c r="B153" s="34" t="s">
        <v>117</v>
      </c>
      <c r="C153" s="19"/>
      <c r="D153" s="4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outlineLevel="1">
      <c r="A154" s="4">
        <v>210</v>
      </c>
      <c r="B154" s="36" t="s">
        <v>55</v>
      </c>
      <c r="C154" s="36"/>
      <c r="D154" s="50"/>
      <c r="E154" s="36"/>
      <c r="F154" s="36"/>
      <c r="G154" s="36"/>
      <c r="H154" s="36">
        <v>0</v>
      </c>
      <c r="I154" s="36">
        <v>0</v>
      </c>
      <c r="J154" s="36">
        <f t="shared" ref="J154:N159" si="92">+J65</f>
        <v>0</v>
      </c>
      <c r="K154" s="36">
        <f t="shared" si="92"/>
        <v>0</v>
      </c>
      <c r="L154" s="36">
        <f t="shared" si="92"/>
        <v>0</v>
      </c>
      <c r="M154" s="36">
        <f t="shared" si="92"/>
        <v>0</v>
      </c>
      <c r="N154" s="36">
        <f t="shared" si="92"/>
        <v>0</v>
      </c>
    </row>
    <row r="155" spans="1:14" outlineLevel="1">
      <c r="A155" s="4">
        <v>220</v>
      </c>
      <c r="B155" s="36" t="s">
        <v>56</v>
      </c>
      <c r="C155" s="36"/>
      <c r="D155" s="50"/>
      <c r="E155" s="36"/>
      <c r="F155" s="36"/>
      <c r="G155" s="36"/>
      <c r="H155" s="36">
        <v>161.39699999999999</v>
      </c>
      <c r="I155" s="36">
        <v>173.96799999999999</v>
      </c>
      <c r="J155" s="36">
        <f t="shared" si="92"/>
        <v>173.96799999999999</v>
      </c>
      <c r="K155" s="36">
        <f t="shared" si="92"/>
        <v>173.96799999999999</v>
      </c>
      <c r="L155" s="36">
        <f t="shared" si="92"/>
        <v>173.96799999999999</v>
      </c>
      <c r="M155" s="36">
        <f t="shared" si="92"/>
        <v>173.96799999999999</v>
      </c>
      <c r="N155" s="36">
        <f t="shared" si="92"/>
        <v>173.96799999999999</v>
      </c>
    </row>
    <row r="156" spans="1:14" outlineLevel="1">
      <c r="A156" s="4">
        <v>231</v>
      </c>
      <c r="B156" s="4" t="s">
        <v>57</v>
      </c>
      <c r="D156" s="25"/>
      <c r="H156" s="4">
        <v>0</v>
      </c>
      <c r="I156" s="4">
        <v>0</v>
      </c>
      <c r="J156" s="4">
        <f t="shared" si="92"/>
        <v>0</v>
      </c>
      <c r="K156" s="4">
        <f t="shared" si="92"/>
        <v>0</v>
      </c>
      <c r="L156" s="4">
        <f t="shared" si="92"/>
        <v>0</v>
      </c>
      <c r="M156" s="4">
        <f t="shared" si="92"/>
        <v>0</v>
      </c>
      <c r="N156" s="4">
        <f t="shared" si="92"/>
        <v>0</v>
      </c>
    </row>
    <row r="157" spans="1:14" outlineLevel="1">
      <c r="A157" s="4">
        <v>232</v>
      </c>
      <c r="B157" s="4" t="s">
        <v>58</v>
      </c>
      <c r="D157" s="25"/>
      <c r="H157" s="4">
        <v>0</v>
      </c>
      <c r="I157" s="4">
        <v>0</v>
      </c>
      <c r="J157" s="4">
        <f t="shared" si="92"/>
        <v>0</v>
      </c>
      <c r="K157" s="4">
        <f t="shared" si="92"/>
        <v>0</v>
      </c>
      <c r="L157" s="4">
        <f t="shared" si="92"/>
        <v>0</v>
      </c>
      <c r="M157" s="4">
        <f t="shared" si="92"/>
        <v>0</v>
      </c>
      <c r="N157" s="4">
        <f t="shared" si="92"/>
        <v>0</v>
      </c>
    </row>
    <row r="158" spans="1:14" outlineLevel="1">
      <c r="A158" s="4">
        <v>233</v>
      </c>
      <c r="B158" s="4" t="s">
        <v>59</v>
      </c>
      <c r="D158" s="25"/>
      <c r="H158" s="4">
        <v>0</v>
      </c>
      <c r="I158" s="4">
        <v>0</v>
      </c>
      <c r="J158" s="4">
        <f t="shared" si="92"/>
        <v>0</v>
      </c>
      <c r="K158" s="4">
        <f t="shared" si="92"/>
        <v>0</v>
      </c>
      <c r="L158" s="4">
        <f t="shared" si="92"/>
        <v>0</v>
      </c>
      <c r="M158" s="4">
        <f t="shared" si="92"/>
        <v>0</v>
      </c>
      <c r="N158" s="4">
        <f t="shared" si="92"/>
        <v>0</v>
      </c>
    </row>
    <row r="159" spans="1:14" outlineLevel="1">
      <c r="A159" s="4">
        <v>234</v>
      </c>
      <c r="B159" s="4" t="s">
        <v>60</v>
      </c>
      <c r="D159" s="25"/>
      <c r="H159" s="4">
        <v>738</v>
      </c>
      <c r="I159" s="4">
        <v>822</v>
      </c>
      <c r="J159" s="4">
        <f t="shared" si="92"/>
        <v>822</v>
      </c>
      <c r="K159" s="4">
        <f t="shared" si="92"/>
        <v>822</v>
      </c>
      <c r="L159" s="4">
        <f t="shared" si="92"/>
        <v>822</v>
      </c>
      <c r="M159" s="4">
        <f t="shared" si="92"/>
        <v>822</v>
      </c>
      <c r="N159" s="4">
        <f t="shared" si="92"/>
        <v>822</v>
      </c>
    </row>
    <row r="160" spans="1:14" outlineLevel="1">
      <c r="A160" s="4">
        <v>235</v>
      </c>
      <c r="B160" s="19" t="s">
        <v>62</v>
      </c>
      <c r="C160" s="19"/>
      <c r="D160" s="49"/>
      <c r="E160" s="19"/>
      <c r="F160" s="19"/>
      <c r="G160" s="19"/>
      <c r="H160" s="19">
        <v>0</v>
      </c>
      <c r="I160" s="19">
        <v>0</v>
      </c>
      <c r="J160" s="19">
        <f>+J72</f>
        <v>0</v>
      </c>
      <c r="K160" s="19">
        <f>+K72</f>
        <v>0</v>
      </c>
      <c r="L160" s="19">
        <f>+L72</f>
        <v>0</v>
      </c>
      <c r="M160" s="19">
        <f>+M72</f>
        <v>0</v>
      </c>
      <c r="N160" s="19">
        <f>+N72</f>
        <v>0</v>
      </c>
    </row>
    <row r="161" spans="1:14" outlineLevel="1">
      <c r="A161" s="4">
        <v>236</v>
      </c>
      <c r="B161" s="4" t="s">
        <v>118</v>
      </c>
      <c r="D161" s="25"/>
      <c r="H161" s="4">
        <v>0</v>
      </c>
      <c r="I161" s="4">
        <v>0</v>
      </c>
      <c r="J161" s="4">
        <f>J91*J73/365</f>
        <v>0</v>
      </c>
      <c r="K161" s="4">
        <f>K91*K73/365</f>
        <v>0</v>
      </c>
      <c r="L161" s="4">
        <f>L91*L73/365</f>
        <v>0</v>
      </c>
      <c r="M161" s="4">
        <f>M91*M73/365</f>
        <v>0</v>
      </c>
      <c r="N161" s="4">
        <f>N91*N73/365</f>
        <v>0</v>
      </c>
    </row>
    <row r="162" spans="1:14" outlineLevel="1">
      <c r="A162" s="4">
        <v>237</v>
      </c>
      <c r="B162" s="19" t="s">
        <v>119</v>
      </c>
      <c r="C162" s="19"/>
      <c r="D162" s="49"/>
      <c r="E162" s="19"/>
      <c r="F162" s="19"/>
      <c r="G162" s="19"/>
      <c r="H162" s="19">
        <v>1</v>
      </c>
      <c r="I162" s="19">
        <v>1</v>
      </c>
      <c r="J162" s="19">
        <f>(J97+J98)*J74/365</f>
        <v>1.1000000000000003</v>
      </c>
      <c r="K162" s="19">
        <f>(K97+K98)*K74/365</f>
        <v>1.5699986336344547</v>
      </c>
      <c r="L162" s="19">
        <f>(L97+L98)*L74/365</f>
        <v>3.0176675656050658</v>
      </c>
      <c r="M162" s="19">
        <f>(M97+M98)*M74/365</f>
        <v>8.3190244868321415</v>
      </c>
      <c r="N162" s="19">
        <f>(N97+N98)*N74/365</f>
        <v>37.925231384245429</v>
      </c>
    </row>
    <row r="163" spans="1:14" outlineLevel="1">
      <c r="A163" s="4">
        <v>238</v>
      </c>
      <c r="B163" s="4" t="s">
        <v>65</v>
      </c>
      <c r="D163" s="25"/>
      <c r="H163" s="4">
        <v>0</v>
      </c>
      <c r="I163" s="4">
        <v>0</v>
      </c>
      <c r="J163" s="4">
        <f t="shared" ref="J163:N171" si="93">+J75</f>
        <v>0</v>
      </c>
      <c r="K163" s="4">
        <f t="shared" si="93"/>
        <v>0</v>
      </c>
      <c r="L163" s="4">
        <f t="shared" si="93"/>
        <v>0</v>
      </c>
      <c r="M163" s="4">
        <f t="shared" si="93"/>
        <v>0</v>
      </c>
      <c r="N163" s="4">
        <f t="shared" si="93"/>
        <v>0</v>
      </c>
    </row>
    <row r="164" spans="1:14" outlineLevel="1">
      <c r="A164" s="4">
        <v>239</v>
      </c>
      <c r="B164" s="4" t="s">
        <v>66</v>
      </c>
      <c r="D164" s="25"/>
      <c r="H164" s="4">
        <v>0</v>
      </c>
      <c r="I164" s="4">
        <v>0</v>
      </c>
      <c r="J164" s="4">
        <f t="shared" si="93"/>
        <v>0</v>
      </c>
      <c r="K164" s="4">
        <f t="shared" si="93"/>
        <v>0</v>
      </c>
      <c r="L164" s="4">
        <f t="shared" si="93"/>
        <v>0</v>
      </c>
      <c r="M164" s="4">
        <f t="shared" si="93"/>
        <v>0</v>
      </c>
      <c r="N164" s="4">
        <f t="shared" si="93"/>
        <v>0</v>
      </c>
    </row>
    <row r="165" spans="1:14" outlineLevel="1">
      <c r="A165" s="4">
        <v>240</v>
      </c>
      <c r="B165" s="4" t="s">
        <v>67</v>
      </c>
      <c r="D165" s="25"/>
      <c r="H165" s="4">
        <v>0</v>
      </c>
      <c r="I165" s="4">
        <v>0</v>
      </c>
      <c r="J165" s="4">
        <f t="shared" si="93"/>
        <v>0</v>
      </c>
      <c r="K165" s="4">
        <f t="shared" si="93"/>
        <v>0</v>
      </c>
      <c r="L165" s="4">
        <f t="shared" si="93"/>
        <v>0</v>
      </c>
      <c r="M165" s="4">
        <f t="shared" si="93"/>
        <v>0</v>
      </c>
      <c r="N165" s="4">
        <f t="shared" si="93"/>
        <v>0</v>
      </c>
    </row>
    <row r="166" spans="1:14" outlineLevel="1">
      <c r="A166" s="4">
        <v>241</v>
      </c>
      <c r="B166" s="4" t="s">
        <v>68</v>
      </c>
      <c r="D166" s="25"/>
      <c r="H166" s="4">
        <v>0</v>
      </c>
      <c r="I166" s="4">
        <v>0</v>
      </c>
      <c r="J166" s="4">
        <f t="shared" si="93"/>
        <v>0</v>
      </c>
      <c r="K166" s="4">
        <f t="shared" si="93"/>
        <v>0</v>
      </c>
      <c r="L166" s="4">
        <f t="shared" si="93"/>
        <v>0</v>
      </c>
      <c r="M166" s="4">
        <f t="shared" si="93"/>
        <v>0</v>
      </c>
      <c r="N166" s="4">
        <f t="shared" si="93"/>
        <v>0</v>
      </c>
    </row>
    <row r="167" spans="1:14" outlineLevel="1">
      <c r="A167" s="4" t="s">
        <v>120</v>
      </c>
      <c r="B167" s="19" t="s">
        <v>69</v>
      </c>
      <c r="C167" s="19"/>
      <c r="D167" s="49"/>
      <c r="E167" s="19"/>
      <c r="F167" s="19"/>
      <c r="G167" s="19"/>
      <c r="H167" s="19">
        <v>0</v>
      </c>
      <c r="I167" s="19">
        <v>0</v>
      </c>
      <c r="J167" s="19">
        <f t="shared" si="93"/>
        <v>0</v>
      </c>
      <c r="K167" s="19">
        <f t="shared" si="93"/>
        <v>0</v>
      </c>
      <c r="L167" s="19">
        <f t="shared" si="93"/>
        <v>0</v>
      </c>
      <c r="M167" s="19">
        <f t="shared" si="93"/>
        <v>0</v>
      </c>
      <c r="N167" s="19">
        <f t="shared" si="93"/>
        <v>0</v>
      </c>
    </row>
    <row r="168" spans="1:14" outlineLevel="1">
      <c r="A168" s="4">
        <v>242</v>
      </c>
      <c r="B168" s="4" t="s">
        <v>70</v>
      </c>
      <c r="D168" s="25"/>
      <c r="H168" s="4">
        <v>1</v>
      </c>
      <c r="I168" s="4">
        <v>1</v>
      </c>
      <c r="J168" s="4">
        <f t="shared" si="93"/>
        <v>1</v>
      </c>
      <c r="K168" s="4">
        <f t="shared" si="93"/>
        <v>1</v>
      </c>
      <c r="L168" s="4">
        <f t="shared" si="93"/>
        <v>1</v>
      </c>
      <c r="M168" s="4">
        <f t="shared" si="93"/>
        <v>1</v>
      </c>
      <c r="N168" s="4">
        <f t="shared" si="93"/>
        <v>1</v>
      </c>
    </row>
    <row r="169" spans="1:14" outlineLevel="1">
      <c r="A169" s="4">
        <v>243</v>
      </c>
      <c r="B169" s="4" t="s">
        <v>71</v>
      </c>
      <c r="D169" s="25"/>
      <c r="H169" s="4">
        <v>1</v>
      </c>
      <c r="I169" s="4">
        <v>1</v>
      </c>
      <c r="J169" s="4">
        <f t="shared" si="93"/>
        <v>1</v>
      </c>
      <c r="K169" s="4">
        <f t="shared" si="93"/>
        <v>1</v>
      </c>
      <c r="L169" s="4">
        <f t="shared" si="93"/>
        <v>1</v>
      </c>
      <c r="M169" s="4">
        <f t="shared" si="93"/>
        <v>1</v>
      </c>
      <c r="N169" s="4">
        <f t="shared" si="93"/>
        <v>1</v>
      </c>
    </row>
    <row r="170" spans="1:14" outlineLevel="1">
      <c r="A170" s="4">
        <v>244</v>
      </c>
      <c r="B170" s="19" t="s">
        <v>72</v>
      </c>
      <c r="C170" s="19"/>
      <c r="D170" s="49"/>
      <c r="E170" s="19"/>
      <c r="F170" s="19"/>
      <c r="G170" s="19"/>
      <c r="H170" s="19">
        <v>1</v>
      </c>
      <c r="I170" s="19">
        <v>1</v>
      </c>
      <c r="J170" s="19">
        <f t="shared" si="93"/>
        <v>1</v>
      </c>
      <c r="K170" s="19">
        <f t="shared" si="93"/>
        <v>1</v>
      </c>
      <c r="L170" s="19">
        <f t="shared" si="93"/>
        <v>1</v>
      </c>
      <c r="M170" s="19">
        <f t="shared" si="93"/>
        <v>1</v>
      </c>
      <c r="N170" s="19">
        <f t="shared" si="93"/>
        <v>1</v>
      </c>
    </row>
    <row r="171" spans="1:14" outlineLevel="1">
      <c r="A171" s="4">
        <v>250</v>
      </c>
      <c r="B171" s="4" t="s">
        <v>73</v>
      </c>
      <c r="D171" s="25"/>
      <c r="H171" s="4">
        <v>0</v>
      </c>
      <c r="I171" s="4">
        <v>0</v>
      </c>
      <c r="J171" s="4">
        <f t="shared" si="93"/>
        <v>0</v>
      </c>
      <c r="K171" s="4">
        <f t="shared" si="93"/>
        <v>0</v>
      </c>
      <c r="L171" s="4">
        <f t="shared" si="93"/>
        <v>0</v>
      </c>
      <c r="M171" s="4">
        <f t="shared" si="93"/>
        <v>0</v>
      </c>
      <c r="N171" s="4">
        <f t="shared" si="93"/>
        <v>0</v>
      </c>
    </row>
    <row r="172" spans="1:14" outlineLevel="1">
      <c r="B172" s="26" t="s">
        <v>121</v>
      </c>
      <c r="C172" s="26"/>
      <c r="D172" s="27"/>
      <c r="E172" s="26">
        <f t="shared" ref="E172:N172" si="94">SUM(E154:E171)</f>
        <v>0</v>
      </c>
      <c r="F172" s="26">
        <f t="shared" si="94"/>
        <v>0</v>
      </c>
      <c r="G172" s="26">
        <f t="shared" si="94"/>
        <v>0</v>
      </c>
      <c r="H172" s="26">
        <f t="shared" si="94"/>
        <v>903.39699999999993</v>
      </c>
      <c r="I172" s="26">
        <f t="shared" si="94"/>
        <v>999.96799999999996</v>
      </c>
      <c r="J172" s="28">
        <f t="shared" si="94"/>
        <v>1000.068</v>
      </c>
      <c r="K172" s="28">
        <f t="shared" si="94"/>
        <v>1000.5379986336344</v>
      </c>
      <c r="L172" s="28">
        <f t="shared" si="94"/>
        <v>1001.985667565605</v>
      </c>
      <c r="M172" s="28">
        <f t="shared" si="94"/>
        <v>1007.2870244868321</v>
      </c>
      <c r="N172" s="28">
        <f t="shared" si="94"/>
        <v>1036.8932313842454</v>
      </c>
    </row>
    <row r="173" spans="1:14" outlineLevel="1">
      <c r="B173" s="14"/>
      <c r="C173" s="14"/>
      <c r="D173" s="8"/>
      <c r="E173" s="14"/>
      <c r="F173" s="14"/>
      <c r="G173" s="14"/>
      <c r="H173" s="14"/>
      <c r="I173" s="14"/>
      <c r="J173" s="16"/>
      <c r="K173" s="16"/>
      <c r="L173" s="16"/>
      <c r="M173" s="16"/>
      <c r="N173" s="16"/>
    </row>
    <row r="174" spans="1:14" outlineLevel="1">
      <c r="B174" s="34" t="s">
        <v>122</v>
      </c>
      <c r="C174" s="19"/>
      <c r="D174" s="20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outlineLevel="1">
      <c r="A175" s="4">
        <v>310</v>
      </c>
      <c r="B175" s="4" t="s">
        <v>123</v>
      </c>
      <c r="H175" s="4">
        <v>28.984999999999999</v>
      </c>
      <c r="I175" s="4">
        <v>28.984999999999999</v>
      </c>
      <c r="J175" s="4">
        <f>+I175+J85</f>
        <v>828.98500000000001</v>
      </c>
      <c r="K175" s="4">
        <f>+J175+K85</f>
        <v>838.98500000000001</v>
      </c>
      <c r="L175" s="4">
        <f>+K175+L85</f>
        <v>2438.9850000000001</v>
      </c>
      <c r="M175" s="4">
        <f>+L175+M85</f>
        <v>2443.9850000000001</v>
      </c>
      <c r="N175" s="4">
        <f>+M175+N85</f>
        <v>2453.9850000000001</v>
      </c>
    </row>
    <row r="176" spans="1:14" outlineLevel="1">
      <c r="A176" s="4">
        <v>320</v>
      </c>
      <c r="B176" s="4" t="s">
        <v>124</v>
      </c>
      <c r="H176" s="4">
        <v>2.1739999999999999</v>
      </c>
      <c r="I176" s="4">
        <v>2.431</v>
      </c>
      <c r="J176" s="4">
        <f>+I176+I177+J86</f>
        <v>23.288</v>
      </c>
      <c r="K176" s="4">
        <f>+J176+J177+K86</f>
        <v>-24.080849999999955</v>
      </c>
      <c r="L176" s="4">
        <f>+K176+K177+L86</f>
        <v>-15.473884999999889</v>
      </c>
      <c r="M176" s="4">
        <f>+L176+L177+M86</f>
        <v>112.53753050000023</v>
      </c>
      <c r="N176" s="4">
        <f>+M176+M177+N86</f>
        <v>1418.8364950000009</v>
      </c>
    </row>
    <row r="177" spans="1:14" outlineLevel="1">
      <c r="A177" s="4">
        <v>330</v>
      </c>
      <c r="B177" s="4" t="s">
        <v>125</v>
      </c>
      <c r="H177" s="4">
        <v>0.255</v>
      </c>
      <c r="I177" s="4">
        <v>0.85699999999999998</v>
      </c>
      <c r="J177" s="4">
        <f>+J120</f>
        <v>-77.368849999999952</v>
      </c>
      <c r="K177" s="4">
        <f>+K120</f>
        <v>7.6069650000000664</v>
      </c>
      <c r="L177" s="4">
        <f>+L120</f>
        <v>108.01141550000011</v>
      </c>
      <c r="M177" s="4">
        <f>+M120</f>
        <v>1276.2989645000007</v>
      </c>
      <c r="N177" s="4">
        <f>+N120</f>
        <v>10494.9395</v>
      </c>
    </row>
    <row r="178" spans="1:14" outlineLevel="1">
      <c r="B178" s="26" t="s">
        <v>126</v>
      </c>
      <c r="C178" s="26"/>
      <c r="D178" s="27"/>
      <c r="E178" s="26">
        <f t="shared" ref="E178:N178" si="95">SUM(E175:E177)</f>
        <v>0</v>
      </c>
      <c r="F178" s="26">
        <f t="shared" si="95"/>
        <v>0</v>
      </c>
      <c r="G178" s="26">
        <f t="shared" si="95"/>
        <v>0</v>
      </c>
      <c r="H178" s="26">
        <f t="shared" si="95"/>
        <v>31.413999999999998</v>
      </c>
      <c r="I178" s="26">
        <f t="shared" si="95"/>
        <v>32.273000000000003</v>
      </c>
      <c r="J178" s="28">
        <f t="shared" si="95"/>
        <v>774.90415000000007</v>
      </c>
      <c r="K178" s="28">
        <f t="shared" si="95"/>
        <v>822.51111500000013</v>
      </c>
      <c r="L178" s="28">
        <f t="shared" si="95"/>
        <v>2531.5225305000004</v>
      </c>
      <c r="M178" s="28">
        <f t="shared" si="95"/>
        <v>3832.8214950000011</v>
      </c>
      <c r="N178" s="28">
        <f t="shared" si="95"/>
        <v>14367.760995000001</v>
      </c>
    </row>
    <row r="179" spans="1:14" ht="16.149999999999999" outlineLevel="1" thickBot="1">
      <c r="B179" s="22" t="s">
        <v>127</v>
      </c>
      <c r="C179" s="22"/>
      <c r="D179" s="23"/>
      <c r="E179" s="22">
        <f t="shared" ref="E179:N179" si="96">E172+E178</f>
        <v>0</v>
      </c>
      <c r="F179" s="22">
        <f t="shared" si="96"/>
        <v>0</v>
      </c>
      <c r="G179" s="22">
        <f t="shared" si="96"/>
        <v>0</v>
      </c>
      <c r="H179" s="22">
        <f t="shared" si="96"/>
        <v>934.81099999999992</v>
      </c>
      <c r="I179" s="22">
        <f t="shared" si="96"/>
        <v>1032.241</v>
      </c>
      <c r="J179" s="24">
        <f t="shared" si="96"/>
        <v>1774.9721500000001</v>
      </c>
      <c r="K179" s="24">
        <f t="shared" si="96"/>
        <v>1823.0491136336345</v>
      </c>
      <c r="L179" s="24">
        <f t="shared" si="96"/>
        <v>3533.5081980656055</v>
      </c>
      <c r="M179" s="24">
        <f t="shared" si="96"/>
        <v>4840.1085194868328</v>
      </c>
      <c r="N179" s="24">
        <f t="shared" si="96"/>
        <v>15404.654226384246</v>
      </c>
    </row>
    <row r="180" spans="1:14" ht="16.149999999999999" outlineLevel="1" thickTop="1">
      <c r="E180" s="7"/>
      <c r="F180" s="7"/>
      <c r="G180" s="7"/>
      <c r="H180" s="7"/>
      <c r="I180" s="7"/>
    </row>
    <row r="181" spans="1:14" outlineLevel="1">
      <c r="B181" s="29" t="s">
        <v>128</v>
      </c>
      <c r="C181" s="30"/>
      <c r="D181" s="31"/>
      <c r="E181" s="30">
        <f t="shared" ref="E181:N181" si="97">E179-E151</f>
        <v>0</v>
      </c>
      <c r="F181" s="30">
        <f t="shared" si="97"/>
        <v>0</v>
      </c>
      <c r="G181" s="30">
        <f t="shared" si="97"/>
        <v>0</v>
      </c>
      <c r="H181" s="30">
        <f t="shared" si="97"/>
        <v>7.9999999999245119E-3</v>
      </c>
      <c r="I181" s="30">
        <f t="shared" si="97"/>
        <v>0.15300000000002001</v>
      </c>
      <c r="J181" s="30">
        <f t="shared" si="97"/>
        <v>7.9999999995834514E-3</v>
      </c>
      <c r="K181" s="30">
        <f t="shared" si="97"/>
        <v>7.9999999995834514E-3</v>
      </c>
      <c r="L181" s="30">
        <f t="shared" si="97"/>
        <v>7.9999999998108251E-3</v>
      </c>
      <c r="M181" s="30">
        <f t="shared" si="97"/>
        <v>7.9999999989013304E-3</v>
      </c>
      <c r="N181" s="30">
        <f t="shared" si="97"/>
        <v>7.9999999979918357E-3</v>
      </c>
    </row>
    <row r="182" spans="1:14" outlineLevel="1">
      <c r="B182" s="30"/>
      <c r="C182" s="30"/>
      <c r="D182" s="31"/>
      <c r="E182" s="30">
        <f t="shared" ref="E182:N182" si="98">+E177-E120</f>
        <v>0</v>
      </c>
      <c r="F182" s="30">
        <f t="shared" si="98"/>
        <v>0</v>
      </c>
      <c r="G182" s="30">
        <f t="shared" si="98"/>
        <v>0</v>
      </c>
      <c r="H182" s="30">
        <f t="shared" si="98"/>
        <v>7.7382544816373411E-14</v>
      </c>
      <c r="I182" s="30">
        <f t="shared" si="98"/>
        <v>-2.0361490271625371E-13</v>
      </c>
      <c r="J182" s="30">
        <f t="shared" si="98"/>
        <v>0</v>
      </c>
      <c r="K182" s="30">
        <f t="shared" si="98"/>
        <v>0</v>
      </c>
      <c r="L182" s="30">
        <f t="shared" si="98"/>
        <v>0</v>
      </c>
      <c r="M182" s="30">
        <f t="shared" si="98"/>
        <v>0</v>
      </c>
      <c r="N182" s="30">
        <f t="shared" si="98"/>
        <v>0</v>
      </c>
    </row>
    <row r="183" spans="1:14">
      <c r="E183" s="7"/>
      <c r="F183" s="7"/>
      <c r="G183" s="7"/>
      <c r="H183" s="7"/>
      <c r="I183" s="7"/>
    </row>
    <row r="184" spans="1:14" ht="20.45">
      <c r="B184" s="54" t="s">
        <v>129</v>
      </c>
      <c r="C184" s="55"/>
      <c r="D184" s="56"/>
      <c r="E184" s="55"/>
      <c r="F184" s="55"/>
      <c r="G184" s="55"/>
      <c r="H184" s="55"/>
      <c r="I184" s="55"/>
      <c r="J184" s="55"/>
      <c r="K184" s="55"/>
      <c r="L184" s="55"/>
      <c r="M184" s="55"/>
      <c r="N184" s="55"/>
    </row>
    <row r="185" spans="1:14" outlineLevel="1">
      <c r="B185" s="5"/>
      <c r="E185" s="15"/>
      <c r="F185" s="7"/>
      <c r="G185" s="7"/>
      <c r="H185" s="7"/>
      <c r="I185" s="7"/>
    </row>
    <row r="186" spans="1:14" ht="16.149999999999999" outlineLevel="1" thickBot="1">
      <c r="B186" s="22" t="s">
        <v>130</v>
      </c>
      <c r="C186" s="39"/>
      <c r="D186" s="40"/>
      <c r="E186" s="35">
        <v>0</v>
      </c>
      <c r="F186" s="24">
        <f>E204</f>
        <v>0</v>
      </c>
      <c r="G186" s="24">
        <f>F204</f>
        <v>0</v>
      </c>
      <c r="H186" s="24">
        <f>G204</f>
        <v>0</v>
      </c>
      <c r="I186" s="35">
        <f>+H205</f>
        <v>13.242000000000001</v>
      </c>
      <c r="J186" s="22">
        <f>I204</f>
        <v>16.326000000000217</v>
      </c>
      <c r="K186" s="22">
        <f>J204</f>
        <v>-43.166049999999615</v>
      </c>
      <c r="L186" s="22">
        <f>K204</f>
        <v>32.683313633634953</v>
      </c>
      <c r="M186" s="22">
        <f>L204</f>
        <v>346.45959806560586</v>
      </c>
      <c r="N186" s="22">
        <f>M204</f>
        <v>1646.3287194868335</v>
      </c>
    </row>
    <row r="187" spans="1:14" ht="16.149999999999999" outlineLevel="1" thickTop="1">
      <c r="B187" s="14"/>
      <c r="C187" s="3"/>
      <c r="D187" s="13"/>
      <c r="E187" s="15"/>
      <c r="F187" s="16"/>
      <c r="G187" s="16"/>
      <c r="H187" s="16"/>
      <c r="I187" s="15"/>
      <c r="J187" s="14"/>
      <c r="K187" s="14"/>
      <c r="L187" s="14"/>
      <c r="M187" s="14"/>
      <c r="N187" s="14"/>
    </row>
    <row r="188" spans="1:14" outlineLevel="1">
      <c r="B188" s="4" t="s">
        <v>131</v>
      </c>
      <c r="E188" s="4">
        <f t="shared" ref="E188:N188" si="99">+E120</f>
        <v>0</v>
      </c>
      <c r="F188" s="4">
        <f t="shared" si="99"/>
        <v>0</v>
      </c>
      <c r="G188" s="4">
        <f t="shared" si="99"/>
        <v>0</v>
      </c>
      <c r="H188" s="4">
        <f t="shared" si="99"/>
        <v>0.25499999999992262</v>
      </c>
      <c r="I188" s="4">
        <f t="shared" si="99"/>
        <v>0.8570000000002036</v>
      </c>
      <c r="J188" s="4">
        <f t="shared" si="99"/>
        <v>-77.368849999999952</v>
      </c>
      <c r="K188" s="4">
        <f t="shared" si="99"/>
        <v>7.6069650000000664</v>
      </c>
      <c r="L188" s="4">
        <f t="shared" si="99"/>
        <v>108.01141550000011</v>
      </c>
      <c r="M188" s="4">
        <f t="shared" si="99"/>
        <v>1276.2989645000007</v>
      </c>
      <c r="N188" s="4">
        <f t="shared" si="99"/>
        <v>10494.9395</v>
      </c>
    </row>
    <row r="189" spans="1:14" outlineLevel="1">
      <c r="B189" s="4" t="s">
        <v>132</v>
      </c>
      <c r="E189" s="7"/>
      <c r="F189" s="7"/>
      <c r="G189" s="7"/>
      <c r="H189" s="7"/>
      <c r="I189" s="4">
        <f t="shared" ref="I189:N189" si="100">+I101+I102+I103-I115+I116</f>
        <v>61.414000000000001</v>
      </c>
      <c r="J189" s="4">
        <f t="shared" si="100"/>
        <v>237.72499999999999</v>
      </c>
      <c r="K189" s="4">
        <f t="shared" si="100"/>
        <v>277.72500000000002</v>
      </c>
      <c r="L189" s="4">
        <f t="shared" si="100"/>
        <v>677.72500000000002</v>
      </c>
      <c r="M189" s="4">
        <f t="shared" si="100"/>
        <v>677.72500000000002</v>
      </c>
      <c r="N189" s="4">
        <f t="shared" si="100"/>
        <v>677.72500000000002</v>
      </c>
    </row>
    <row r="190" spans="1:14" outlineLevel="1">
      <c r="B190" s="4" t="s">
        <v>133</v>
      </c>
      <c r="E190" s="7"/>
      <c r="F190" s="7"/>
      <c r="G190" s="7"/>
      <c r="H190" s="7"/>
      <c r="I190" s="4">
        <f t="shared" ref="I190:N190" si="101">+I155-H155</f>
        <v>12.570999999999998</v>
      </c>
      <c r="J190" s="4">
        <f t="shared" si="101"/>
        <v>0</v>
      </c>
      <c r="K190" s="4">
        <f t="shared" si="101"/>
        <v>0</v>
      </c>
      <c r="L190" s="4">
        <f t="shared" si="101"/>
        <v>0</v>
      </c>
      <c r="M190" s="4">
        <f t="shared" si="101"/>
        <v>0</v>
      </c>
      <c r="N190" s="4">
        <f t="shared" si="101"/>
        <v>0</v>
      </c>
    </row>
    <row r="191" spans="1:14" outlineLevel="1">
      <c r="B191" s="4" t="s">
        <v>134</v>
      </c>
      <c r="E191" s="7"/>
      <c r="F191" s="7"/>
      <c r="G191" s="7"/>
      <c r="H191" s="7"/>
      <c r="I191" s="4">
        <f t="shared" ref="I191:N191" si="102">+I154-H154</f>
        <v>0</v>
      </c>
      <c r="J191" s="4">
        <f t="shared" si="102"/>
        <v>0</v>
      </c>
      <c r="K191" s="4">
        <f t="shared" si="102"/>
        <v>0</v>
      </c>
      <c r="L191" s="4">
        <f t="shared" si="102"/>
        <v>0</v>
      </c>
      <c r="M191" s="4">
        <f t="shared" si="102"/>
        <v>0</v>
      </c>
      <c r="N191" s="4">
        <f t="shared" si="102"/>
        <v>0</v>
      </c>
    </row>
    <row r="192" spans="1:14" outlineLevel="1">
      <c r="B192" s="4" t="s">
        <v>135</v>
      </c>
      <c r="E192" s="7"/>
      <c r="F192" s="7"/>
      <c r="G192" s="7"/>
      <c r="H192" s="7"/>
      <c r="I192" s="4">
        <f>-I236</f>
        <v>-127.50900000000001</v>
      </c>
      <c r="J192" s="4">
        <f t="shared" ref="J192:N192" si="103">-J236</f>
        <v>-2.1231999999999971</v>
      </c>
      <c r="K192" s="4">
        <f t="shared" si="103"/>
        <v>-11.75760136636552</v>
      </c>
      <c r="L192" s="4">
        <f t="shared" si="103"/>
        <v>-35.235131068029432</v>
      </c>
      <c r="M192" s="4">
        <f t="shared" si="103"/>
        <v>-141.42984307877282</v>
      </c>
      <c r="N192" s="4">
        <f t="shared" si="103"/>
        <v>-850.78099310258676</v>
      </c>
    </row>
    <row r="193" spans="2:14" outlineLevel="1">
      <c r="B193" s="26" t="s">
        <v>136</v>
      </c>
      <c r="C193" s="36"/>
      <c r="D193" s="37"/>
      <c r="E193" s="28">
        <f t="shared" ref="E193:H193" si="104">E188+E189+E190+E191+E192</f>
        <v>0</v>
      </c>
      <c r="F193" s="28">
        <f t="shared" si="104"/>
        <v>0</v>
      </c>
      <c r="G193" s="28">
        <f t="shared" si="104"/>
        <v>0</v>
      </c>
      <c r="H193" s="28">
        <f t="shared" si="104"/>
        <v>0.25499999999992262</v>
      </c>
      <c r="I193" s="28">
        <f>I188+I189+I190+I191+I192</f>
        <v>-52.666999999999803</v>
      </c>
      <c r="J193" s="28">
        <f t="shared" ref="J193:N193" si="105">J188+J189+J190+J191+J192</f>
        <v>158.23295000000005</v>
      </c>
      <c r="K193" s="28">
        <f t="shared" si="105"/>
        <v>273.57436363363456</v>
      </c>
      <c r="L193" s="28">
        <f t="shared" si="105"/>
        <v>750.5012844319707</v>
      </c>
      <c r="M193" s="28">
        <f t="shared" si="105"/>
        <v>1812.5941214212278</v>
      </c>
      <c r="N193" s="28">
        <f t="shared" si="105"/>
        <v>10321.883506897415</v>
      </c>
    </row>
    <row r="194" spans="2:14" outlineLevel="1">
      <c r="B194" s="14"/>
      <c r="C194" s="3"/>
      <c r="D194" s="13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2:14" outlineLevel="1">
      <c r="B195" s="4" t="s">
        <v>137</v>
      </c>
      <c r="E195" s="3">
        <f t="shared" ref="E195:H195" si="106">(+E246+E247+E248)</f>
        <v>0</v>
      </c>
      <c r="F195" s="3">
        <f t="shared" si="106"/>
        <v>0</v>
      </c>
      <c r="G195" s="3">
        <f t="shared" si="106"/>
        <v>0</v>
      </c>
      <c r="H195" s="3">
        <f t="shared" si="106"/>
        <v>560.83799999999997</v>
      </c>
      <c r="I195" s="3">
        <f>(+I246+I247+I248)</f>
        <v>28.250999999999991</v>
      </c>
      <c r="J195" s="3">
        <f t="shared" ref="J195:N195" si="107">(+J246+J247+J248)</f>
        <v>1037.7249999999999</v>
      </c>
      <c r="K195" s="3">
        <f t="shared" si="107"/>
        <v>237.72499999999999</v>
      </c>
      <c r="L195" s="3">
        <f t="shared" si="107"/>
        <v>2037.7249999999999</v>
      </c>
      <c r="M195" s="3">
        <f t="shared" si="107"/>
        <v>537.72500000000002</v>
      </c>
      <c r="N195" s="3">
        <f t="shared" si="107"/>
        <v>537.72500000000002</v>
      </c>
    </row>
    <row r="196" spans="2:14" outlineLevel="1">
      <c r="B196" s="26" t="s">
        <v>138</v>
      </c>
      <c r="C196" s="36"/>
      <c r="D196" s="37"/>
      <c r="E196" s="28">
        <f>SUM(E195)</f>
        <v>0</v>
      </c>
      <c r="F196" s="28">
        <f t="shared" ref="F196:J196" si="108">SUM(F195)</f>
        <v>0</v>
      </c>
      <c r="G196" s="28">
        <f t="shared" si="108"/>
        <v>0</v>
      </c>
      <c r="H196" s="28">
        <f t="shared" si="108"/>
        <v>560.83799999999997</v>
      </c>
      <c r="I196" s="28">
        <f t="shared" si="108"/>
        <v>28.250999999999991</v>
      </c>
      <c r="J196" s="28">
        <f t="shared" si="108"/>
        <v>1037.7249999999999</v>
      </c>
      <c r="K196" s="28">
        <f t="shared" ref="K196" si="109">SUM(K195)</f>
        <v>237.72499999999999</v>
      </c>
      <c r="L196" s="28">
        <f t="shared" ref="L196" si="110">SUM(L195)</f>
        <v>2037.7249999999999</v>
      </c>
      <c r="M196" s="28">
        <f t="shared" ref="M196" si="111">SUM(M195)</f>
        <v>537.72500000000002</v>
      </c>
      <c r="N196" s="28">
        <f t="shared" ref="N196" si="112">SUM(N195)</f>
        <v>537.72500000000002</v>
      </c>
    </row>
    <row r="197" spans="2:14" outlineLevel="1">
      <c r="B197" s="14"/>
      <c r="C197" s="3"/>
      <c r="D197" s="13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2:14" outlineLevel="1">
      <c r="B198" s="4" t="s">
        <v>139</v>
      </c>
      <c r="E198" s="3">
        <f t="shared" ref="E198:H198" si="113">+E277</f>
        <v>0</v>
      </c>
      <c r="F198" s="3">
        <f t="shared" si="113"/>
        <v>0</v>
      </c>
      <c r="G198" s="3">
        <f t="shared" si="113"/>
        <v>0</v>
      </c>
      <c r="H198" s="3">
        <f t="shared" si="113"/>
        <v>738</v>
      </c>
      <c r="I198" s="3">
        <f>+I277</f>
        <v>84</v>
      </c>
      <c r="J198" s="3">
        <f t="shared" ref="J198:N198" si="114">+J277</f>
        <v>0</v>
      </c>
      <c r="K198" s="3">
        <f t="shared" si="114"/>
        <v>0</v>
      </c>
      <c r="L198" s="3">
        <f t="shared" si="114"/>
        <v>0</v>
      </c>
      <c r="M198" s="3">
        <f t="shared" si="114"/>
        <v>0</v>
      </c>
      <c r="N198" s="3">
        <f t="shared" si="114"/>
        <v>0</v>
      </c>
    </row>
    <row r="199" spans="2:14" outlineLevel="1">
      <c r="B199" s="4" t="s">
        <v>140</v>
      </c>
      <c r="E199" s="3">
        <f t="shared" ref="E199:N199" si="115">+E175+E176-(D175+D176+D177)</f>
        <v>0</v>
      </c>
      <c r="F199" s="3">
        <f t="shared" si="115"/>
        <v>0</v>
      </c>
      <c r="G199" s="3">
        <f t="shared" si="115"/>
        <v>0</v>
      </c>
      <c r="H199" s="3">
        <f t="shared" si="115"/>
        <v>31.158999999999999</v>
      </c>
      <c r="I199" s="3">
        <f t="shared" si="115"/>
        <v>2.0000000000024443E-3</v>
      </c>
      <c r="J199" s="3">
        <f t="shared" si="115"/>
        <v>820</v>
      </c>
      <c r="K199" s="3">
        <f t="shared" si="115"/>
        <v>40</v>
      </c>
      <c r="L199" s="3">
        <f t="shared" si="115"/>
        <v>1601</v>
      </c>
      <c r="M199" s="3">
        <f t="shared" si="115"/>
        <v>25</v>
      </c>
      <c r="N199" s="3">
        <f t="shared" si="115"/>
        <v>40</v>
      </c>
    </row>
    <row r="200" spans="2:14" outlineLevel="1">
      <c r="B200" s="26" t="s">
        <v>141</v>
      </c>
      <c r="C200" s="36"/>
      <c r="D200" s="37"/>
      <c r="E200" s="28">
        <f>SUM(E198:E199)</f>
        <v>0</v>
      </c>
      <c r="F200" s="28">
        <f t="shared" ref="F200:J200" si="116">SUM(F198:F199)</f>
        <v>0</v>
      </c>
      <c r="G200" s="28">
        <f t="shared" si="116"/>
        <v>0</v>
      </c>
      <c r="H200" s="28">
        <f t="shared" si="116"/>
        <v>769.15899999999999</v>
      </c>
      <c r="I200" s="28">
        <f>SUM(I198:I199)</f>
        <v>84.00200000000001</v>
      </c>
      <c r="J200" s="28">
        <f t="shared" si="116"/>
        <v>820</v>
      </c>
      <c r="K200" s="28">
        <f t="shared" ref="K200" si="117">SUM(K198:K199)</f>
        <v>40</v>
      </c>
      <c r="L200" s="28">
        <f t="shared" ref="L200" si="118">SUM(L198:L199)</f>
        <v>1601</v>
      </c>
      <c r="M200" s="28">
        <f t="shared" ref="M200" si="119">SUM(M198:M199)</f>
        <v>25</v>
      </c>
      <c r="N200" s="28">
        <f t="shared" ref="N200" si="120">SUM(N198:N199)</f>
        <v>40</v>
      </c>
    </row>
    <row r="201" spans="2:14" outlineLevel="1">
      <c r="B201" s="14"/>
      <c r="C201" s="3"/>
      <c r="D201" s="13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2:14" ht="16.149999999999999" outlineLevel="1" thickBot="1">
      <c r="B202" s="51" t="s">
        <v>142</v>
      </c>
      <c r="C202" s="51"/>
      <c r="D202" s="53"/>
      <c r="E202" s="52">
        <f t="shared" ref="E202:N202" si="121">E193-E196+E200</f>
        <v>0</v>
      </c>
      <c r="F202" s="52">
        <f t="shared" si="121"/>
        <v>0</v>
      </c>
      <c r="G202" s="52">
        <f t="shared" si="121"/>
        <v>0</v>
      </c>
      <c r="H202" s="52">
        <f t="shared" si="121"/>
        <v>208.57599999999991</v>
      </c>
      <c r="I202" s="52">
        <f t="shared" si="121"/>
        <v>3.0840000000002163</v>
      </c>
      <c r="J202" s="52">
        <f t="shared" si="121"/>
        <v>-59.492049999999836</v>
      </c>
      <c r="K202" s="52">
        <f t="shared" si="121"/>
        <v>75.849363633634567</v>
      </c>
      <c r="L202" s="52">
        <f t="shared" si="121"/>
        <v>313.77628443197091</v>
      </c>
      <c r="M202" s="52">
        <f t="shared" si="121"/>
        <v>1299.8691214212276</v>
      </c>
      <c r="N202" s="52">
        <f t="shared" si="121"/>
        <v>9824.1585068974146</v>
      </c>
    </row>
    <row r="203" spans="2:14" outlineLevel="1"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2:14" ht="16.149999999999999" outlineLevel="1" thickBot="1">
      <c r="B204" s="22" t="s">
        <v>143</v>
      </c>
      <c r="C204" s="39"/>
      <c r="D204" s="40"/>
      <c r="E204" s="24">
        <f>SUM(E202:E202)</f>
        <v>0</v>
      </c>
      <c r="F204" s="24">
        <f>SUM(F202:F202)</f>
        <v>0</v>
      </c>
      <c r="G204" s="24">
        <f>SUM(G202:G202)</f>
        <v>0</v>
      </c>
      <c r="H204" s="24">
        <f>SUM(H202:H202)</f>
        <v>208.57599999999991</v>
      </c>
      <c r="I204" s="24">
        <f>+I186+I202</f>
        <v>16.326000000000217</v>
      </c>
      <c r="J204" s="24">
        <f t="shared" ref="J204:N204" si="122">+J186+J202</f>
        <v>-43.166049999999615</v>
      </c>
      <c r="K204" s="24">
        <f t="shared" si="122"/>
        <v>32.683313633634953</v>
      </c>
      <c r="L204" s="24">
        <f t="shared" si="122"/>
        <v>346.45959806560586</v>
      </c>
      <c r="M204" s="24">
        <f t="shared" si="122"/>
        <v>1646.3287194868335</v>
      </c>
      <c r="N204" s="24">
        <f t="shared" si="122"/>
        <v>11470.487226384248</v>
      </c>
    </row>
    <row r="205" spans="2:14" ht="16.149999999999999" outlineLevel="1" thickTop="1">
      <c r="B205" s="5"/>
      <c r="E205" s="15"/>
      <c r="F205" s="15"/>
      <c r="G205" s="15"/>
      <c r="H205" s="15">
        <f>+H149</f>
        <v>13.242000000000001</v>
      </c>
      <c r="I205" s="15">
        <f>+I149</f>
        <v>16.181000000000001</v>
      </c>
      <c r="J205" s="15"/>
      <c r="K205" s="15"/>
      <c r="L205" s="15"/>
      <c r="M205" s="15"/>
      <c r="N205" s="15"/>
    </row>
    <row r="206" spans="2:14" outlineLevel="1">
      <c r="B206" s="5"/>
      <c r="E206" s="15"/>
      <c r="F206" s="7"/>
      <c r="G206" s="7"/>
      <c r="H206" s="7"/>
      <c r="I206" s="7">
        <f>+I205-H205</f>
        <v>2.9390000000000001</v>
      </c>
      <c r="J206" s="7"/>
      <c r="K206" s="7"/>
      <c r="L206" s="7"/>
      <c r="M206" s="7"/>
      <c r="N206" s="7"/>
    </row>
    <row r="207" spans="2:14">
      <c r="E207" s="7"/>
      <c r="F207" s="7"/>
      <c r="G207" s="7"/>
      <c r="H207" s="7"/>
      <c r="I207" s="7">
        <f>+I206-I202</f>
        <v>-0.14500000000021629</v>
      </c>
      <c r="J207" s="7"/>
      <c r="K207" s="7"/>
      <c r="L207" s="7"/>
      <c r="M207" s="7"/>
      <c r="N207" s="7"/>
    </row>
    <row r="208" spans="2:14" ht="20.45">
      <c r="B208" s="54" t="s">
        <v>144</v>
      </c>
      <c r="C208" s="55"/>
      <c r="D208" s="56"/>
      <c r="E208" s="55"/>
      <c r="F208" s="55"/>
      <c r="G208" s="55"/>
      <c r="H208" s="55"/>
      <c r="I208" s="55"/>
      <c r="J208" s="55"/>
      <c r="K208" s="55"/>
      <c r="L208" s="55"/>
      <c r="M208" s="55"/>
      <c r="N208" s="55"/>
    </row>
    <row r="209" spans="2:14" outlineLevel="1">
      <c r="E209" s="7"/>
      <c r="F209" s="7"/>
      <c r="G209" s="7"/>
      <c r="H209" s="7"/>
      <c r="I209" s="7"/>
    </row>
    <row r="210" spans="2:14" outlineLevel="1">
      <c r="B210" s="5" t="s">
        <v>145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2:14" outlineLevel="1">
      <c r="B211" s="4" t="str">
        <f>+B132</f>
        <v>C.I.1 - Rimanenze, materie prime, sussidiarie e di consumo</v>
      </c>
      <c r="E211" s="4">
        <f t="shared" ref="E211:N211" si="123">+E132</f>
        <v>0</v>
      </c>
      <c r="F211" s="4">
        <f t="shared" si="123"/>
        <v>0</v>
      </c>
      <c r="G211" s="4">
        <f t="shared" si="123"/>
        <v>0</v>
      </c>
      <c r="H211" s="4">
        <f t="shared" si="123"/>
        <v>22.617999999999999</v>
      </c>
      <c r="I211" s="4">
        <f t="shared" si="123"/>
        <v>21.231999999999999</v>
      </c>
      <c r="J211" s="4">
        <f t="shared" si="123"/>
        <v>23.355200000000004</v>
      </c>
      <c r="K211" s="4">
        <f t="shared" si="123"/>
        <v>35.032800000000002</v>
      </c>
      <c r="L211" s="4">
        <f t="shared" si="123"/>
        <v>70.065600000000003</v>
      </c>
      <c r="M211" s="4">
        <f t="shared" si="123"/>
        <v>210.19680000000002</v>
      </c>
      <c r="N211" s="4">
        <f t="shared" si="123"/>
        <v>1050.9840000000002</v>
      </c>
    </row>
    <row r="212" spans="2:14" outlineLevel="1">
      <c r="B212" s="4" t="str">
        <f>+B133</f>
        <v>C.I.2 - Rimanenze, prodotti in corso di lavorazione e semilavorati</v>
      </c>
      <c r="E212" s="4">
        <f t="shared" ref="E212:N212" si="124">+E133</f>
        <v>0</v>
      </c>
      <c r="F212" s="4">
        <f t="shared" si="124"/>
        <v>0</v>
      </c>
      <c r="G212" s="4">
        <f t="shared" si="124"/>
        <v>0</v>
      </c>
      <c r="H212" s="4">
        <f t="shared" si="124"/>
        <v>0</v>
      </c>
      <c r="I212" s="4">
        <f t="shared" si="124"/>
        <v>0</v>
      </c>
      <c r="J212" s="4">
        <f t="shared" si="124"/>
        <v>0</v>
      </c>
      <c r="K212" s="4">
        <f t="shared" si="124"/>
        <v>0</v>
      </c>
      <c r="L212" s="4">
        <f t="shared" si="124"/>
        <v>0</v>
      </c>
      <c r="M212" s="4">
        <f t="shared" si="124"/>
        <v>0</v>
      </c>
      <c r="N212" s="4">
        <f t="shared" si="124"/>
        <v>0</v>
      </c>
    </row>
    <row r="213" spans="2:14" outlineLevel="1">
      <c r="B213" s="4" t="str">
        <f>+B134</f>
        <v>C.I.3 - Rimanenze, lavori in corso su ordinazione</v>
      </c>
      <c r="E213" s="4">
        <f t="shared" ref="E213:N213" si="125">+E134</f>
        <v>0</v>
      </c>
      <c r="F213" s="4">
        <f t="shared" si="125"/>
        <v>0</v>
      </c>
      <c r="G213" s="4">
        <f t="shared" si="125"/>
        <v>0</v>
      </c>
      <c r="H213" s="4">
        <f t="shared" si="125"/>
        <v>0</v>
      </c>
      <c r="I213" s="4">
        <f t="shared" si="125"/>
        <v>0</v>
      </c>
      <c r="J213" s="4">
        <f t="shared" si="125"/>
        <v>0</v>
      </c>
      <c r="K213" s="4">
        <f t="shared" si="125"/>
        <v>0</v>
      </c>
      <c r="L213" s="4">
        <f t="shared" si="125"/>
        <v>0</v>
      </c>
      <c r="M213" s="4">
        <f t="shared" si="125"/>
        <v>0</v>
      </c>
      <c r="N213" s="4">
        <f t="shared" si="125"/>
        <v>0</v>
      </c>
    </row>
    <row r="214" spans="2:14" outlineLevel="1">
      <c r="B214" s="4" t="str">
        <f>+B135</f>
        <v>C.I.4 - Rimanenze, prodotti finiti e merci</v>
      </c>
      <c r="E214" s="4">
        <f t="shared" ref="E214:N214" si="126">+E135</f>
        <v>0</v>
      </c>
      <c r="F214" s="4">
        <f t="shared" si="126"/>
        <v>0</v>
      </c>
      <c r="G214" s="4">
        <f t="shared" si="126"/>
        <v>0</v>
      </c>
      <c r="H214" s="4">
        <f t="shared" si="126"/>
        <v>0</v>
      </c>
      <c r="I214" s="4">
        <f t="shared" si="126"/>
        <v>0</v>
      </c>
      <c r="J214" s="4">
        <f t="shared" si="126"/>
        <v>0</v>
      </c>
      <c r="K214" s="4">
        <f t="shared" si="126"/>
        <v>0</v>
      </c>
      <c r="L214" s="4">
        <f t="shared" si="126"/>
        <v>0</v>
      </c>
      <c r="M214" s="4">
        <f t="shared" si="126"/>
        <v>0</v>
      </c>
      <c r="N214" s="4">
        <f t="shared" si="126"/>
        <v>0</v>
      </c>
    </row>
    <row r="215" spans="2:14" outlineLevel="1">
      <c r="B215" s="4" t="str">
        <f>+B136</f>
        <v>C.I.5 - Rimanenze, acconti</v>
      </c>
      <c r="E215" s="4">
        <f t="shared" ref="E215:N215" si="127">+E136</f>
        <v>0</v>
      </c>
      <c r="F215" s="4">
        <f t="shared" si="127"/>
        <v>0</v>
      </c>
      <c r="G215" s="4">
        <f t="shared" si="127"/>
        <v>0</v>
      </c>
      <c r="H215" s="4">
        <f t="shared" si="127"/>
        <v>0</v>
      </c>
      <c r="I215" s="4">
        <f t="shared" si="127"/>
        <v>0</v>
      </c>
      <c r="J215" s="4">
        <f t="shared" si="127"/>
        <v>0</v>
      </c>
      <c r="K215" s="4">
        <f t="shared" si="127"/>
        <v>0</v>
      </c>
      <c r="L215" s="4">
        <f t="shared" si="127"/>
        <v>0</v>
      </c>
      <c r="M215" s="4">
        <f t="shared" si="127"/>
        <v>0</v>
      </c>
      <c r="N215" s="4">
        <f t="shared" si="127"/>
        <v>0</v>
      </c>
    </row>
    <row r="216" spans="2:14" outlineLevel="1">
      <c r="B216" s="4" t="str">
        <f t="shared" ref="B216:B224" si="128">+B138</f>
        <v>C - Immobilizzazioni materiali destinate alla vendita</v>
      </c>
      <c r="E216" s="4">
        <f t="shared" ref="E216:N216" si="129">+E138</f>
        <v>0</v>
      </c>
      <c r="F216" s="4">
        <f t="shared" si="129"/>
        <v>0</v>
      </c>
      <c r="G216" s="4">
        <f t="shared" si="129"/>
        <v>0</v>
      </c>
      <c r="H216" s="4">
        <f t="shared" si="129"/>
        <v>0</v>
      </c>
      <c r="I216" s="4">
        <f t="shared" si="129"/>
        <v>0</v>
      </c>
      <c r="J216" s="4">
        <f t="shared" si="129"/>
        <v>0</v>
      </c>
      <c r="K216" s="4">
        <f t="shared" si="129"/>
        <v>0</v>
      </c>
      <c r="L216" s="4">
        <f t="shared" si="129"/>
        <v>0</v>
      </c>
      <c r="M216" s="4">
        <f t="shared" si="129"/>
        <v>0</v>
      </c>
      <c r="N216" s="4">
        <f t="shared" si="129"/>
        <v>0</v>
      </c>
    </row>
    <row r="217" spans="2:14" outlineLevel="1">
      <c r="B217" s="4" t="str">
        <f t="shared" si="128"/>
        <v>C.II.1 - Crediti verso clienti</v>
      </c>
      <c r="E217" s="4">
        <f t="shared" ref="E217:N217" si="130">+E139</f>
        <v>0</v>
      </c>
      <c r="F217" s="4">
        <f t="shared" si="130"/>
        <v>0</v>
      </c>
      <c r="G217" s="4">
        <f t="shared" si="130"/>
        <v>0</v>
      </c>
      <c r="H217" s="4">
        <f t="shared" si="130"/>
        <v>1</v>
      </c>
      <c r="I217" s="4">
        <f t="shared" si="130"/>
        <v>1</v>
      </c>
      <c r="J217" s="4">
        <f t="shared" si="130"/>
        <v>1.1000000000000001</v>
      </c>
      <c r="K217" s="4">
        <f t="shared" si="130"/>
        <v>1.6500000000000004</v>
      </c>
      <c r="L217" s="4">
        <f t="shared" si="130"/>
        <v>3.3000000000000007</v>
      </c>
      <c r="M217" s="4">
        <f t="shared" si="130"/>
        <v>9.9000000000000021</v>
      </c>
      <c r="N217" s="4">
        <f t="shared" si="130"/>
        <v>49.500000000000007</v>
      </c>
    </row>
    <row r="218" spans="2:14" outlineLevel="1">
      <c r="B218" s="4" t="str">
        <f t="shared" si="128"/>
        <v>C.II.2 - Crediti verso imprese controllate</v>
      </c>
      <c r="E218" s="4">
        <f t="shared" ref="E218:N218" si="131">+E140</f>
        <v>0</v>
      </c>
      <c r="F218" s="4">
        <f t="shared" si="131"/>
        <v>0</v>
      </c>
      <c r="G218" s="4">
        <f t="shared" si="131"/>
        <v>0</v>
      </c>
      <c r="H218" s="4">
        <f t="shared" si="131"/>
        <v>0</v>
      </c>
      <c r="I218" s="4">
        <f t="shared" si="131"/>
        <v>0</v>
      </c>
      <c r="J218" s="4">
        <f t="shared" si="131"/>
        <v>0</v>
      </c>
      <c r="K218" s="4">
        <f t="shared" si="131"/>
        <v>0</v>
      </c>
      <c r="L218" s="4">
        <f t="shared" si="131"/>
        <v>0</v>
      </c>
      <c r="M218" s="4">
        <f t="shared" si="131"/>
        <v>0</v>
      </c>
      <c r="N218" s="4">
        <f t="shared" si="131"/>
        <v>0</v>
      </c>
    </row>
    <row r="219" spans="2:14" outlineLevel="1">
      <c r="B219" s="4" t="str">
        <f t="shared" si="128"/>
        <v>C.II.3 - Crediti verso imprese collegate</v>
      </c>
      <c r="E219" s="4">
        <f t="shared" ref="E219:N219" si="132">+E141</f>
        <v>0</v>
      </c>
      <c r="F219" s="4">
        <f t="shared" si="132"/>
        <v>0</v>
      </c>
      <c r="G219" s="4">
        <f t="shared" si="132"/>
        <v>0</v>
      </c>
      <c r="H219" s="4">
        <f t="shared" si="132"/>
        <v>0</v>
      </c>
      <c r="I219" s="4">
        <f t="shared" si="132"/>
        <v>0</v>
      </c>
      <c r="J219" s="4">
        <f t="shared" si="132"/>
        <v>0</v>
      </c>
      <c r="K219" s="4">
        <f t="shared" si="132"/>
        <v>0</v>
      </c>
      <c r="L219" s="4">
        <f t="shared" si="132"/>
        <v>0</v>
      </c>
      <c r="M219" s="4">
        <f t="shared" si="132"/>
        <v>0</v>
      </c>
      <c r="N219" s="4">
        <f t="shared" si="132"/>
        <v>0</v>
      </c>
    </row>
    <row r="220" spans="2:14" outlineLevel="1">
      <c r="B220" s="4" t="str">
        <f t="shared" si="128"/>
        <v>C.II.4 - Crediti verso controllanti</v>
      </c>
      <c r="E220" s="4">
        <f t="shared" ref="E220:N220" si="133">+E142</f>
        <v>0</v>
      </c>
      <c r="F220" s="4">
        <f t="shared" si="133"/>
        <v>0</v>
      </c>
      <c r="G220" s="4">
        <f t="shared" si="133"/>
        <v>0</v>
      </c>
      <c r="H220" s="4">
        <f t="shared" si="133"/>
        <v>0</v>
      </c>
      <c r="I220" s="4">
        <f t="shared" si="133"/>
        <v>0</v>
      </c>
      <c r="J220" s="4">
        <f t="shared" si="133"/>
        <v>0</v>
      </c>
      <c r="K220" s="4">
        <f t="shared" si="133"/>
        <v>0</v>
      </c>
      <c r="L220" s="4">
        <f t="shared" si="133"/>
        <v>0</v>
      </c>
      <c r="M220" s="4">
        <f t="shared" si="133"/>
        <v>0</v>
      </c>
      <c r="N220" s="4">
        <f t="shared" si="133"/>
        <v>0</v>
      </c>
    </row>
    <row r="221" spans="2:14" outlineLevel="1">
      <c r="B221" s="4" t="str">
        <f t="shared" si="128"/>
        <v>C.II.5 - Crediti verso imprese sottoposte al controllo delle controllanti</v>
      </c>
      <c r="E221" s="4">
        <f t="shared" ref="E221:N221" si="134">+E143</f>
        <v>0</v>
      </c>
      <c r="F221" s="4">
        <f t="shared" si="134"/>
        <v>0</v>
      </c>
      <c r="G221" s="4">
        <f t="shared" si="134"/>
        <v>0</v>
      </c>
      <c r="H221" s="4">
        <f t="shared" si="134"/>
        <v>0</v>
      </c>
      <c r="I221" s="4">
        <f t="shared" si="134"/>
        <v>0</v>
      </c>
      <c r="J221" s="4">
        <f t="shared" si="134"/>
        <v>0</v>
      </c>
      <c r="K221" s="4">
        <f t="shared" si="134"/>
        <v>0</v>
      </c>
      <c r="L221" s="4">
        <f t="shared" si="134"/>
        <v>0</v>
      </c>
      <c r="M221" s="4">
        <f t="shared" si="134"/>
        <v>0</v>
      </c>
      <c r="N221" s="4">
        <f t="shared" si="134"/>
        <v>0</v>
      </c>
    </row>
    <row r="222" spans="2:14" outlineLevel="1">
      <c r="B222" s="4" t="str">
        <f t="shared" si="128"/>
        <v>C.II.5-bis - Crediti tributari</v>
      </c>
      <c r="E222" s="4">
        <f t="shared" ref="E222:N222" si="135">+E144</f>
        <v>0</v>
      </c>
      <c r="F222" s="4">
        <f t="shared" si="135"/>
        <v>0</v>
      </c>
      <c r="G222" s="4">
        <f t="shared" si="135"/>
        <v>0</v>
      </c>
      <c r="H222" s="4">
        <f t="shared" si="135"/>
        <v>1</v>
      </c>
      <c r="I222" s="4">
        <f t="shared" si="135"/>
        <v>1</v>
      </c>
      <c r="J222" s="4">
        <f t="shared" si="135"/>
        <v>1</v>
      </c>
      <c r="K222" s="4">
        <f t="shared" si="135"/>
        <v>1</v>
      </c>
      <c r="L222" s="4">
        <f t="shared" si="135"/>
        <v>1</v>
      </c>
      <c r="M222" s="4">
        <f t="shared" si="135"/>
        <v>1</v>
      </c>
      <c r="N222" s="4">
        <f t="shared" si="135"/>
        <v>1</v>
      </c>
    </row>
    <row r="223" spans="2:14" outlineLevel="1">
      <c r="B223" s="4" t="str">
        <f t="shared" si="128"/>
        <v>C.II.5-ter - Imposte anticipate</v>
      </c>
      <c r="E223" s="4">
        <f t="shared" ref="E223:N223" si="136">+E145</f>
        <v>0</v>
      </c>
      <c r="F223" s="4">
        <f t="shared" si="136"/>
        <v>0</v>
      </c>
      <c r="G223" s="4">
        <f t="shared" si="136"/>
        <v>0</v>
      </c>
      <c r="H223" s="4">
        <f t="shared" si="136"/>
        <v>5.952</v>
      </c>
      <c r="I223" s="4">
        <f t="shared" si="136"/>
        <v>4.3079999999999998</v>
      </c>
      <c r="J223" s="4">
        <f t="shared" si="136"/>
        <v>4.3079999999999998</v>
      </c>
      <c r="K223" s="4">
        <f t="shared" si="136"/>
        <v>4.3079999999999998</v>
      </c>
      <c r="L223" s="4">
        <f t="shared" si="136"/>
        <v>4.3079999999999998</v>
      </c>
      <c r="M223" s="4">
        <f t="shared" si="136"/>
        <v>4.3079999999999998</v>
      </c>
      <c r="N223" s="4">
        <f t="shared" si="136"/>
        <v>4.3079999999999998</v>
      </c>
    </row>
    <row r="224" spans="2:14" outlineLevel="1">
      <c r="B224" s="4" t="str">
        <f t="shared" si="128"/>
        <v>C.II.5-quater - Crediti verso altri</v>
      </c>
      <c r="E224" s="4">
        <f t="shared" ref="E224:N224" si="137">+E146</f>
        <v>0</v>
      </c>
      <c r="F224" s="4">
        <f t="shared" si="137"/>
        <v>0</v>
      </c>
      <c r="G224" s="4">
        <f t="shared" si="137"/>
        <v>0</v>
      </c>
      <c r="H224" s="4">
        <f t="shared" si="137"/>
        <v>380.58100000000002</v>
      </c>
      <c r="I224" s="4">
        <f t="shared" si="137"/>
        <v>510.20400000000001</v>
      </c>
      <c r="J224" s="4">
        <f t="shared" si="137"/>
        <v>510.20400000000001</v>
      </c>
      <c r="K224" s="4">
        <f t="shared" si="137"/>
        <v>510.20400000000001</v>
      </c>
      <c r="L224" s="4">
        <f t="shared" si="137"/>
        <v>510.20400000000001</v>
      </c>
      <c r="M224" s="4">
        <f t="shared" si="137"/>
        <v>510.20400000000001</v>
      </c>
      <c r="N224" s="4">
        <f t="shared" si="137"/>
        <v>510.20400000000001</v>
      </c>
    </row>
    <row r="225" spans="2:14" outlineLevel="1">
      <c r="B225" s="4" t="str">
        <f>+B148</f>
        <v>C.III - Attività  finanziarie che non costituiscono immobilizzazioni</v>
      </c>
      <c r="E225" s="4">
        <f t="shared" ref="E225:N225" si="138">+E148</f>
        <v>0</v>
      </c>
      <c r="F225" s="4">
        <f t="shared" si="138"/>
        <v>0</v>
      </c>
      <c r="G225" s="4">
        <f t="shared" si="138"/>
        <v>0</v>
      </c>
      <c r="H225" s="4">
        <f t="shared" si="138"/>
        <v>0</v>
      </c>
      <c r="I225" s="4">
        <f t="shared" si="138"/>
        <v>0</v>
      </c>
      <c r="J225" s="4">
        <f t="shared" si="138"/>
        <v>0</v>
      </c>
      <c r="K225" s="4">
        <f t="shared" si="138"/>
        <v>0</v>
      </c>
      <c r="L225" s="4">
        <f t="shared" si="138"/>
        <v>0</v>
      </c>
      <c r="M225" s="4">
        <f t="shared" si="138"/>
        <v>0</v>
      </c>
      <c r="N225" s="4">
        <f t="shared" si="138"/>
        <v>0</v>
      </c>
    </row>
    <row r="226" spans="2:14" outlineLevel="1">
      <c r="B226" s="4" t="str">
        <f>+B150</f>
        <v>D - Ratei e risconti</v>
      </c>
      <c r="E226" s="4">
        <f t="shared" ref="E226:N226" si="139">+E150</f>
        <v>0</v>
      </c>
      <c r="F226" s="4">
        <f t="shared" si="139"/>
        <v>0</v>
      </c>
      <c r="G226" s="4">
        <f t="shared" si="139"/>
        <v>0</v>
      </c>
      <c r="H226" s="4">
        <f t="shared" si="139"/>
        <v>1.401</v>
      </c>
      <c r="I226" s="4">
        <f t="shared" si="139"/>
        <v>2.3170000000000002</v>
      </c>
      <c r="J226" s="4">
        <f t="shared" si="139"/>
        <v>2.3170000000000002</v>
      </c>
      <c r="K226" s="4">
        <f t="shared" si="139"/>
        <v>2.3170000000000002</v>
      </c>
      <c r="L226" s="4">
        <f t="shared" si="139"/>
        <v>2.3170000000000002</v>
      </c>
      <c r="M226" s="4">
        <f t="shared" si="139"/>
        <v>2.3170000000000002</v>
      </c>
      <c r="N226" s="4">
        <f t="shared" si="139"/>
        <v>2.3170000000000002</v>
      </c>
    </row>
    <row r="227" spans="2:14" outlineLevel="1"/>
    <row r="228" spans="2:14" outlineLevel="1">
      <c r="B228" s="4" t="str">
        <f>+B161</f>
        <v>D.6 - Acconti</v>
      </c>
      <c r="E228" s="4">
        <f t="shared" ref="E228:N228" si="140">+E161</f>
        <v>0</v>
      </c>
      <c r="F228" s="4">
        <f t="shared" si="140"/>
        <v>0</v>
      </c>
      <c r="G228" s="4">
        <f t="shared" si="140"/>
        <v>0</v>
      </c>
      <c r="H228" s="4">
        <f t="shared" si="140"/>
        <v>0</v>
      </c>
      <c r="I228" s="4">
        <f t="shared" si="140"/>
        <v>0</v>
      </c>
      <c r="J228" s="4">
        <f t="shared" si="140"/>
        <v>0</v>
      </c>
      <c r="K228" s="4">
        <f t="shared" si="140"/>
        <v>0</v>
      </c>
      <c r="L228" s="4">
        <f t="shared" si="140"/>
        <v>0</v>
      </c>
      <c r="M228" s="4">
        <f t="shared" si="140"/>
        <v>0</v>
      </c>
      <c r="N228" s="4">
        <f t="shared" si="140"/>
        <v>0</v>
      </c>
    </row>
    <row r="229" spans="2:14" outlineLevel="1">
      <c r="B229" s="4" t="str">
        <f>+B162</f>
        <v>D.7 - Debiti verso fornitori</v>
      </c>
      <c r="E229" s="4">
        <f t="shared" ref="E229:N229" si="141">+E162</f>
        <v>0</v>
      </c>
      <c r="F229" s="4">
        <f t="shared" si="141"/>
        <v>0</v>
      </c>
      <c r="G229" s="4">
        <f t="shared" si="141"/>
        <v>0</v>
      </c>
      <c r="H229" s="4">
        <f t="shared" si="141"/>
        <v>1</v>
      </c>
      <c r="I229" s="4">
        <f t="shared" si="141"/>
        <v>1</v>
      </c>
      <c r="J229" s="4">
        <f t="shared" si="141"/>
        <v>1.1000000000000003</v>
      </c>
      <c r="K229" s="4">
        <f t="shared" si="141"/>
        <v>1.5699986336344547</v>
      </c>
      <c r="L229" s="4">
        <f t="shared" si="141"/>
        <v>3.0176675656050658</v>
      </c>
      <c r="M229" s="4">
        <f t="shared" si="141"/>
        <v>8.3190244868321415</v>
      </c>
      <c r="N229" s="4">
        <f t="shared" si="141"/>
        <v>37.925231384245429</v>
      </c>
    </row>
    <row r="230" spans="2:14" outlineLevel="1">
      <c r="B230" s="4" t="str">
        <f>+B168</f>
        <v>D.12 - Debiti tributari</v>
      </c>
      <c r="E230" s="4">
        <f t="shared" ref="E230:N230" si="142">+E168</f>
        <v>0</v>
      </c>
      <c r="F230" s="4">
        <f t="shared" si="142"/>
        <v>0</v>
      </c>
      <c r="G230" s="4">
        <f t="shared" si="142"/>
        <v>0</v>
      </c>
      <c r="H230" s="4">
        <f t="shared" si="142"/>
        <v>1</v>
      </c>
      <c r="I230" s="4">
        <f t="shared" si="142"/>
        <v>1</v>
      </c>
      <c r="J230" s="4">
        <f t="shared" si="142"/>
        <v>1</v>
      </c>
      <c r="K230" s="4">
        <f t="shared" si="142"/>
        <v>1</v>
      </c>
      <c r="L230" s="4">
        <f t="shared" si="142"/>
        <v>1</v>
      </c>
      <c r="M230" s="4">
        <f t="shared" si="142"/>
        <v>1</v>
      </c>
      <c r="N230" s="4">
        <f t="shared" si="142"/>
        <v>1</v>
      </c>
    </row>
    <row r="231" spans="2:14" outlineLevel="1">
      <c r="B231" s="4" t="str">
        <f>+B169</f>
        <v>D.13 - Debiti verso istituti di previdenza e di sicurezza sociale</v>
      </c>
      <c r="E231" s="4">
        <f t="shared" ref="E231:N231" si="143">+E169</f>
        <v>0</v>
      </c>
      <c r="F231" s="4">
        <f t="shared" si="143"/>
        <v>0</v>
      </c>
      <c r="G231" s="4">
        <f t="shared" si="143"/>
        <v>0</v>
      </c>
      <c r="H231" s="4">
        <f t="shared" si="143"/>
        <v>1</v>
      </c>
      <c r="I231" s="4">
        <f t="shared" si="143"/>
        <v>1</v>
      </c>
      <c r="J231" s="4">
        <f t="shared" si="143"/>
        <v>1</v>
      </c>
      <c r="K231" s="4">
        <f t="shared" si="143"/>
        <v>1</v>
      </c>
      <c r="L231" s="4">
        <f t="shared" si="143"/>
        <v>1</v>
      </c>
      <c r="M231" s="4">
        <f t="shared" si="143"/>
        <v>1</v>
      </c>
      <c r="N231" s="4">
        <f t="shared" si="143"/>
        <v>1</v>
      </c>
    </row>
    <row r="232" spans="2:14" outlineLevel="1">
      <c r="B232" s="4" t="str">
        <f>+B170</f>
        <v>D.14 - Altri debiti</v>
      </c>
      <c r="E232" s="4">
        <f t="shared" ref="E232:N232" si="144">+E170</f>
        <v>0</v>
      </c>
      <c r="F232" s="4">
        <f t="shared" si="144"/>
        <v>0</v>
      </c>
      <c r="G232" s="4">
        <f t="shared" si="144"/>
        <v>0</v>
      </c>
      <c r="H232" s="4">
        <f t="shared" si="144"/>
        <v>1</v>
      </c>
      <c r="I232" s="4">
        <f t="shared" si="144"/>
        <v>1</v>
      </c>
      <c r="J232" s="4">
        <f t="shared" si="144"/>
        <v>1</v>
      </c>
      <c r="K232" s="4">
        <f t="shared" si="144"/>
        <v>1</v>
      </c>
      <c r="L232" s="4">
        <f t="shared" si="144"/>
        <v>1</v>
      </c>
      <c r="M232" s="4">
        <f t="shared" si="144"/>
        <v>1</v>
      </c>
      <c r="N232" s="4">
        <f t="shared" si="144"/>
        <v>1</v>
      </c>
    </row>
    <row r="233" spans="2:14" outlineLevel="1">
      <c r="B233" s="4" t="str">
        <f>+B171</f>
        <v>E - Ratei e risconti</v>
      </c>
      <c r="E233" s="4">
        <f t="shared" ref="E233:N233" si="145">+E171</f>
        <v>0</v>
      </c>
      <c r="F233" s="4">
        <f t="shared" si="145"/>
        <v>0</v>
      </c>
      <c r="G233" s="4">
        <f t="shared" si="145"/>
        <v>0</v>
      </c>
      <c r="H233" s="4">
        <f t="shared" si="145"/>
        <v>0</v>
      </c>
      <c r="I233" s="4">
        <f t="shared" si="145"/>
        <v>0</v>
      </c>
      <c r="J233" s="4">
        <f t="shared" si="145"/>
        <v>0</v>
      </c>
      <c r="K233" s="4">
        <f t="shared" si="145"/>
        <v>0</v>
      </c>
      <c r="L233" s="4">
        <f t="shared" si="145"/>
        <v>0</v>
      </c>
      <c r="M233" s="4">
        <f t="shared" si="145"/>
        <v>0</v>
      </c>
      <c r="N233" s="4">
        <f t="shared" si="145"/>
        <v>0</v>
      </c>
    </row>
    <row r="234" spans="2:14" outlineLevel="1">
      <c r="B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2:14" ht="16.149999999999999" outlineLevel="1" thickBot="1">
      <c r="B235" s="22" t="s">
        <v>146</v>
      </c>
      <c r="C235" s="22"/>
      <c r="D235" s="23"/>
      <c r="E235" s="22">
        <f t="shared" ref="E235:G235" si="146">SUM(E211:E226)-SUM(E228:E233)</f>
        <v>0</v>
      </c>
      <c r="F235" s="22">
        <f t="shared" si="146"/>
        <v>0</v>
      </c>
      <c r="G235" s="22">
        <f t="shared" si="146"/>
        <v>0</v>
      </c>
      <c r="H235" s="22">
        <f>SUM(H211:H226)-SUM(H228:H233)</f>
        <v>408.55200000000002</v>
      </c>
      <c r="I235" s="22">
        <f>SUM(I211:I226)-SUM(I228:I233)</f>
        <v>536.06100000000004</v>
      </c>
      <c r="J235" s="22">
        <f t="shared" ref="J235:N235" si="147">SUM(J211:J226)-SUM(J228:J233)</f>
        <v>538.18420000000003</v>
      </c>
      <c r="K235" s="22">
        <f t="shared" si="147"/>
        <v>549.94180136636555</v>
      </c>
      <c r="L235" s="22">
        <f t="shared" si="147"/>
        <v>585.17693243439498</v>
      </c>
      <c r="M235" s="22">
        <f t="shared" si="147"/>
        <v>726.6067755131678</v>
      </c>
      <c r="N235" s="22">
        <f t="shared" si="147"/>
        <v>1577.3877686157546</v>
      </c>
    </row>
    <row r="236" spans="2:14" ht="16.149999999999999" outlineLevel="1" thickTop="1">
      <c r="B236" s="5" t="s">
        <v>147</v>
      </c>
      <c r="C236" s="5"/>
      <c r="D236" s="17"/>
      <c r="E236" s="5"/>
      <c r="F236" s="5">
        <f>+F235-E235</f>
        <v>0</v>
      </c>
      <c r="G236" s="5">
        <f t="shared" ref="G236:N236" si="148">+G235-F235</f>
        <v>0</v>
      </c>
      <c r="H236" s="5">
        <f t="shared" si="148"/>
        <v>408.55200000000002</v>
      </c>
      <c r="I236" s="5">
        <f t="shared" si="148"/>
        <v>127.50900000000001</v>
      </c>
      <c r="J236" s="5">
        <f t="shared" si="148"/>
        <v>2.1231999999999971</v>
      </c>
      <c r="K236" s="5">
        <f t="shared" si="148"/>
        <v>11.75760136636552</v>
      </c>
      <c r="L236" s="5">
        <f t="shared" si="148"/>
        <v>35.235131068029432</v>
      </c>
      <c r="M236" s="5">
        <f t="shared" si="148"/>
        <v>141.42984307877282</v>
      </c>
      <c r="N236" s="5">
        <f t="shared" si="148"/>
        <v>850.78099310258676</v>
      </c>
    </row>
    <row r="237" spans="2:14" outlineLevel="1">
      <c r="B237" s="5"/>
      <c r="E237" s="7"/>
      <c r="F237" s="7"/>
      <c r="G237" s="7"/>
      <c r="H237" s="7"/>
      <c r="I237" s="7"/>
    </row>
    <row r="238" spans="2:14" outlineLevel="1">
      <c r="B238" s="5"/>
      <c r="E238" s="7"/>
      <c r="F238" s="7"/>
      <c r="G238" s="7"/>
      <c r="H238" s="7"/>
      <c r="I238" s="7"/>
    </row>
    <row r="239" spans="2:14" outlineLevel="1">
      <c r="B239" s="5" t="s">
        <v>148</v>
      </c>
      <c r="E239" s="7"/>
      <c r="F239" s="7"/>
      <c r="G239" s="7"/>
      <c r="H239" s="7"/>
      <c r="I239" s="7"/>
    </row>
    <row r="240" spans="2:14" outlineLevel="1">
      <c r="B240" s="34" t="s">
        <v>149</v>
      </c>
      <c r="C240" s="19"/>
      <c r="D240" s="20"/>
      <c r="E240" s="21"/>
      <c r="F240" s="21"/>
      <c r="G240" s="21"/>
      <c r="H240" s="21"/>
      <c r="I240" s="21"/>
      <c r="J240" s="19"/>
      <c r="K240" s="19"/>
      <c r="L240" s="19"/>
      <c r="M240" s="19"/>
      <c r="N240" s="19"/>
    </row>
    <row r="241" spans="2:14" outlineLevel="1">
      <c r="B241" s="4" t="str">
        <f>+B128</f>
        <v>B.I - Immobilizzazioni immateriali</v>
      </c>
      <c r="E241" s="7"/>
      <c r="F241" s="4">
        <f t="shared" ref="F241:H241" si="149">+E256</f>
        <v>0</v>
      </c>
      <c r="G241" s="4">
        <f t="shared" si="149"/>
        <v>0</v>
      </c>
      <c r="H241" s="4">
        <f t="shared" si="149"/>
        <v>0</v>
      </c>
      <c r="I241" s="4">
        <f>+H256</f>
        <v>348.05200000000002</v>
      </c>
      <c r="J241" s="4">
        <f t="shared" ref="J241:N241" si="150">+I256</f>
        <v>333.31700000000001</v>
      </c>
      <c r="K241" s="4">
        <f t="shared" si="150"/>
        <v>333.31700000000001</v>
      </c>
      <c r="L241" s="4">
        <f t="shared" si="150"/>
        <v>333.31700000000001</v>
      </c>
      <c r="M241" s="4">
        <f t="shared" si="150"/>
        <v>333.31700000000001</v>
      </c>
      <c r="N241" s="4">
        <f t="shared" si="150"/>
        <v>333.31700000000001</v>
      </c>
    </row>
    <row r="242" spans="2:14" outlineLevel="1">
      <c r="B242" s="4" t="str">
        <f>+B129</f>
        <v>B.II - Immobilizzazioni materiali</v>
      </c>
      <c r="E242" s="7"/>
      <c r="F242" s="4">
        <f t="shared" ref="F242:H242" si="151">+E257</f>
        <v>0</v>
      </c>
      <c r="G242" s="4">
        <f t="shared" si="151"/>
        <v>0</v>
      </c>
      <c r="H242" s="4">
        <f t="shared" si="151"/>
        <v>0</v>
      </c>
      <c r="I242" s="4">
        <f>+H257</f>
        <v>160.95699999999999</v>
      </c>
      <c r="J242" s="4">
        <f t="shared" ref="J242:N242" si="152">+I257</f>
        <v>142.529</v>
      </c>
      <c r="K242" s="4">
        <f t="shared" si="152"/>
        <v>942.529</v>
      </c>
      <c r="L242" s="4">
        <f t="shared" si="152"/>
        <v>902.529</v>
      </c>
      <c r="M242" s="4">
        <f t="shared" si="152"/>
        <v>2262.529</v>
      </c>
      <c r="N242" s="4">
        <f t="shared" si="152"/>
        <v>2122.529</v>
      </c>
    </row>
    <row r="243" spans="2:14" outlineLevel="1">
      <c r="B243" s="4" t="str">
        <f>+B130</f>
        <v>B.III - Immobilizzazioni finanziarie</v>
      </c>
      <c r="E243" s="7"/>
      <c r="F243" s="4">
        <f t="shared" ref="F243:H243" si="153">+E258</f>
        <v>0</v>
      </c>
      <c r="G243" s="4">
        <f t="shared" si="153"/>
        <v>0</v>
      </c>
      <c r="H243" s="4">
        <f t="shared" si="153"/>
        <v>0</v>
      </c>
      <c r="I243" s="4">
        <f>+H258</f>
        <v>0</v>
      </c>
      <c r="J243" s="4">
        <f t="shared" ref="J243:N243" si="154">+I258</f>
        <v>0</v>
      </c>
      <c r="K243" s="4">
        <f t="shared" si="154"/>
        <v>0</v>
      </c>
      <c r="L243" s="4">
        <f t="shared" si="154"/>
        <v>0</v>
      </c>
      <c r="M243" s="4">
        <f t="shared" si="154"/>
        <v>0</v>
      </c>
      <c r="N243" s="4">
        <f t="shared" si="154"/>
        <v>0</v>
      </c>
    </row>
    <row r="244" spans="2:14" outlineLevel="1">
      <c r="B244" s="5"/>
      <c r="E244" s="7"/>
      <c r="F244" s="7"/>
      <c r="G244" s="7"/>
      <c r="H244" s="7"/>
      <c r="I244" s="7"/>
    </row>
    <row r="245" spans="2:14" outlineLevel="1">
      <c r="B245" s="34" t="s">
        <v>22</v>
      </c>
      <c r="C245" s="19"/>
      <c r="D245" s="20"/>
      <c r="E245" s="21"/>
      <c r="F245" s="21"/>
      <c r="G245" s="21"/>
      <c r="H245" s="21"/>
      <c r="I245" s="21"/>
      <c r="J245" s="19"/>
      <c r="K245" s="19"/>
      <c r="L245" s="19"/>
      <c r="M245" s="19"/>
      <c r="N245" s="19"/>
    </row>
    <row r="246" spans="2:14" outlineLevel="1">
      <c r="B246" s="4" t="str">
        <f>+B241</f>
        <v>B.I - Immobilizzazioni immateriali</v>
      </c>
      <c r="E246" s="7"/>
      <c r="F246" s="4">
        <f t="shared" ref="F246:H246" si="155">F256-F241+F251</f>
        <v>0</v>
      </c>
      <c r="G246" s="4">
        <f t="shared" si="155"/>
        <v>0</v>
      </c>
      <c r="H246" s="4">
        <f t="shared" si="155"/>
        <v>374.90300000000002</v>
      </c>
      <c r="I246" s="4">
        <f>I256-I241+I251</f>
        <v>22.989999999999988</v>
      </c>
      <c r="J246" s="4">
        <f t="shared" ref="J246:N248" si="156">+J25</f>
        <v>37.725000000000001</v>
      </c>
      <c r="K246" s="4">
        <f t="shared" si="156"/>
        <v>37.725000000000001</v>
      </c>
      <c r="L246" s="4">
        <f t="shared" si="156"/>
        <v>37.725000000000001</v>
      </c>
      <c r="M246" s="4">
        <f t="shared" si="156"/>
        <v>37.725000000000001</v>
      </c>
      <c r="N246" s="4">
        <f t="shared" si="156"/>
        <v>37.725000000000001</v>
      </c>
    </row>
    <row r="247" spans="2:14" outlineLevel="1">
      <c r="B247" s="4" t="str">
        <f>+B242</f>
        <v>B.II - Immobilizzazioni materiali</v>
      </c>
      <c r="E247" s="7"/>
      <c r="F247" s="4">
        <f t="shared" ref="F247:I247" si="157">F257-F242+F252</f>
        <v>0</v>
      </c>
      <c r="G247" s="4">
        <f t="shared" si="157"/>
        <v>0</v>
      </c>
      <c r="H247" s="4">
        <f t="shared" si="157"/>
        <v>185.935</v>
      </c>
      <c r="I247" s="4">
        <f t="shared" si="157"/>
        <v>5.2610000000000028</v>
      </c>
      <c r="J247" s="4">
        <f t="shared" si="156"/>
        <v>1000</v>
      </c>
      <c r="K247" s="4">
        <f t="shared" si="156"/>
        <v>200</v>
      </c>
      <c r="L247" s="4">
        <f t="shared" si="156"/>
        <v>2000</v>
      </c>
      <c r="M247" s="4">
        <f t="shared" si="156"/>
        <v>500</v>
      </c>
      <c r="N247" s="4">
        <f t="shared" si="156"/>
        <v>500</v>
      </c>
    </row>
    <row r="248" spans="2:14" outlineLevel="1">
      <c r="B248" s="4" t="str">
        <f>+B243</f>
        <v>B.III - Immobilizzazioni finanziarie</v>
      </c>
      <c r="E248" s="7"/>
      <c r="F248" s="4">
        <f t="shared" ref="F248:I248" si="158">F258-F243+F253</f>
        <v>0</v>
      </c>
      <c r="G248" s="4">
        <f t="shared" si="158"/>
        <v>0</v>
      </c>
      <c r="H248" s="4">
        <f t="shared" si="158"/>
        <v>0</v>
      </c>
      <c r="I248" s="4">
        <f t="shared" si="158"/>
        <v>0</v>
      </c>
      <c r="J248" s="4">
        <f t="shared" si="156"/>
        <v>0</v>
      </c>
      <c r="K248" s="4">
        <f t="shared" si="156"/>
        <v>0</v>
      </c>
      <c r="L248" s="4">
        <f t="shared" si="156"/>
        <v>0</v>
      </c>
      <c r="M248" s="4">
        <f t="shared" si="156"/>
        <v>0</v>
      </c>
      <c r="N248" s="4">
        <f t="shared" si="156"/>
        <v>0</v>
      </c>
    </row>
    <row r="249" spans="2:14" outlineLevel="1">
      <c r="B249" s="5"/>
      <c r="E249" s="7"/>
      <c r="F249" s="7"/>
      <c r="G249" s="7"/>
      <c r="H249" s="7"/>
      <c r="I249" s="7"/>
    </row>
    <row r="250" spans="2:14" outlineLevel="1">
      <c r="B250" s="34" t="s">
        <v>150</v>
      </c>
      <c r="C250" s="19"/>
      <c r="D250" s="20"/>
      <c r="E250" s="21"/>
      <c r="F250" s="21"/>
      <c r="G250" s="21"/>
      <c r="H250" s="21"/>
      <c r="I250" s="21"/>
      <c r="J250" s="19"/>
      <c r="K250" s="19"/>
      <c r="L250" s="19"/>
      <c r="M250" s="19"/>
      <c r="N250" s="19"/>
    </row>
    <row r="251" spans="2:14" outlineLevel="1">
      <c r="B251" s="4" t="str">
        <f>+B101</f>
        <v>B.10.a - Ammortamento delle immobilizzazioni immateriali</v>
      </c>
      <c r="E251" s="4">
        <f t="shared" ref="E251:N251" si="159">+E101</f>
        <v>0</v>
      </c>
      <c r="F251" s="4">
        <f t="shared" si="159"/>
        <v>0</v>
      </c>
      <c r="G251" s="4">
        <f t="shared" si="159"/>
        <v>0</v>
      </c>
      <c r="H251" s="4">
        <f t="shared" si="159"/>
        <v>26.850999999999999</v>
      </c>
      <c r="I251" s="4">
        <f t="shared" si="159"/>
        <v>37.725000000000001</v>
      </c>
      <c r="J251" s="4">
        <f t="shared" si="159"/>
        <v>37.725000000000001</v>
      </c>
      <c r="K251" s="4">
        <f t="shared" si="159"/>
        <v>37.725000000000001</v>
      </c>
      <c r="L251" s="4">
        <f t="shared" si="159"/>
        <v>37.725000000000001</v>
      </c>
      <c r="M251" s="4">
        <f t="shared" si="159"/>
        <v>37.725000000000001</v>
      </c>
      <c r="N251" s="4">
        <f t="shared" si="159"/>
        <v>37.725000000000001</v>
      </c>
    </row>
    <row r="252" spans="2:14" outlineLevel="1">
      <c r="B252" s="4" t="str">
        <f>+B102</f>
        <v>B.10.b - Ammortamento delle immobilizzazioni materiali</v>
      </c>
      <c r="E252" s="4">
        <f t="shared" ref="E252:N252" si="160">+E102</f>
        <v>0</v>
      </c>
      <c r="F252" s="4">
        <f t="shared" si="160"/>
        <v>0</v>
      </c>
      <c r="G252" s="4">
        <f t="shared" si="160"/>
        <v>0</v>
      </c>
      <c r="H252" s="4">
        <f t="shared" si="160"/>
        <v>24.978000000000002</v>
      </c>
      <c r="I252" s="4">
        <f t="shared" si="160"/>
        <v>23.689</v>
      </c>
      <c r="J252" s="4">
        <f t="shared" si="160"/>
        <v>200</v>
      </c>
      <c r="K252" s="4">
        <f t="shared" si="160"/>
        <v>240</v>
      </c>
      <c r="L252" s="4">
        <f t="shared" si="160"/>
        <v>640</v>
      </c>
      <c r="M252" s="4">
        <f t="shared" si="160"/>
        <v>640</v>
      </c>
      <c r="N252" s="4">
        <f t="shared" si="160"/>
        <v>640</v>
      </c>
    </row>
    <row r="253" spans="2:14" outlineLevel="1">
      <c r="B253" s="4" t="str">
        <f>+B103</f>
        <v>B.10.c - Svalutazioni delle immobilizzazioni</v>
      </c>
      <c r="E253" s="4">
        <f t="shared" ref="E253:N253" si="161">+E103</f>
        <v>0</v>
      </c>
      <c r="F253" s="4">
        <f t="shared" si="161"/>
        <v>0</v>
      </c>
      <c r="G253" s="4">
        <f t="shared" si="161"/>
        <v>0</v>
      </c>
      <c r="H253" s="4">
        <f t="shared" si="161"/>
        <v>0</v>
      </c>
      <c r="I253" s="4">
        <f t="shared" si="161"/>
        <v>0</v>
      </c>
      <c r="J253" s="4">
        <f t="shared" si="161"/>
        <v>0</v>
      </c>
      <c r="K253" s="4">
        <f t="shared" si="161"/>
        <v>0</v>
      </c>
      <c r="L253" s="4">
        <f t="shared" si="161"/>
        <v>0</v>
      </c>
      <c r="M253" s="4">
        <f t="shared" si="161"/>
        <v>0</v>
      </c>
      <c r="N253" s="4">
        <f t="shared" si="161"/>
        <v>0</v>
      </c>
    </row>
    <row r="254" spans="2:14" outlineLevel="1">
      <c r="B254" s="5"/>
      <c r="E254" s="7"/>
      <c r="F254" s="7"/>
      <c r="G254" s="7"/>
      <c r="H254" s="7"/>
      <c r="I254" s="7"/>
    </row>
    <row r="255" spans="2:14" outlineLevel="1">
      <c r="B255" s="34" t="s">
        <v>151</v>
      </c>
      <c r="C255" s="19"/>
      <c r="D255" s="20"/>
      <c r="E255" s="21"/>
      <c r="F255" s="21"/>
      <c r="G255" s="21"/>
      <c r="H255" s="21"/>
      <c r="I255" s="21"/>
      <c r="J255" s="19"/>
      <c r="K255" s="19"/>
      <c r="L255" s="19"/>
      <c r="M255" s="19"/>
      <c r="N255" s="19"/>
    </row>
    <row r="256" spans="2:14" outlineLevel="1">
      <c r="B256" s="4" t="str">
        <f>+B128</f>
        <v>B.I - Immobilizzazioni immateriali</v>
      </c>
      <c r="E256" s="4">
        <f t="shared" ref="E256:I258" si="162">+E128</f>
        <v>0</v>
      </c>
      <c r="F256" s="4">
        <f t="shared" si="162"/>
        <v>0</v>
      </c>
      <c r="G256" s="4">
        <f t="shared" si="162"/>
        <v>0</v>
      </c>
      <c r="H256" s="4">
        <f t="shared" si="162"/>
        <v>348.05200000000002</v>
      </c>
      <c r="I256" s="4">
        <f t="shared" si="162"/>
        <v>333.31700000000001</v>
      </c>
      <c r="J256" s="4">
        <f>J241+J246-J251</f>
        <v>333.31700000000001</v>
      </c>
      <c r="K256" s="4">
        <f t="shared" ref="K256:N256" si="163">K241+K246-K251</f>
        <v>333.31700000000001</v>
      </c>
      <c r="L256" s="4">
        <f t="shared" si="163"/>
        <v>333.31700000000001</v>
      </c>
      <c r="M256" s="4">
        <f t="shared" si="163"/>
        <v>333.31700000000001</v>
      </c>
      <c r="N256" s="4">
        <f t="shared" si="163"/>
        <v>333.31700000000001</v>
      </c>
    </row>
    <row r="257" spans="2:14" outlineLevel="1">
      <c r="B257" s="4" t="str">
        <f>+B129</f>
        <v>B.II - Immobilizzazioni materiali</v>
      </c>
      <c r="E257" s="4">
        <f t="shared" si="162"/>
        <v>0</v>
      </c>
      <c r="F257" s="4">
        <f t="shared" si="162"/>
        <v>0</v>
      </c>
      <c r="G257" s="4">
        <f t="shared" si="162"/>
        <v>0</v>
      </c>
      <c r="H257" s="4">
        <f t="shared" si="162"/>
        <v>160.95699999999999</v>
      </c>
      <c r="I257" s="4">
        <f t="shared" si="162"/>
        <v>142.529</v>
      </c>
      <c r="J257" s="4">
        <f t="shared" ref="J257:N257" si="164">J242+J247-J252</f>
        <v>942.529</v>
      </c>
      <c r="K257" s="4">
        <f t="shared" si="164"/>
        <v>902.529</v>
      </c>
      <c r="L257" s="4">
        <f t="shared" si="164"/>
        <v>2262.529</v>
      </c>
      <c r="M257" s="4">
        <f t="shared" si="164"/>
        <v>2122.529</v>
      </c>
      <c r="N257" s="4">
        <f t="shared" si="164"/>
        <v>1982.529</v>
      </c>
    </row>
    <row r="258" spans="2:14" outlineLevel="1">
      <c r="B258" s="4" t="str">
        <f>+B130</f>
        <v>B.III - Immobilizzazioni finanziarie</v>
      </c>
      <c r="E258" s="4">
        <f t="shared" si="162"/>
        <v>0</v>
      </c>
      <c r="F258" s="4">
        <f t="shared" si="162"/>
        <v>0</v>
      </c>
      <c r="G258" s="4">
        <f t="shared" si="162"/>
        <v>0</v>
      </c>
      <c r="H258" s="4">
        <f t="shared" si="162"/>
        <v>0</v>
      </c>
      <c r="I258" s="4">
        <f t="shared" si="162"/>
        <v>0</v>
      </c>
      <c r="J258" s="4">
        <f t="shared" ref="J258:N258" si="165">J243+J248-J253</f>
        <v>0</v>
      </c>
      <c r="K258" s="4">
        <f t="shared" si="165"/>
        <v>0</v>
      </c>
      <c r="L258" s="4">
        <f t="shared" si="165"/>
        <v>0</v>
      </c>
      <c r="M258" s="4">
        <f t="shared" si="165"/>
        <v>0</v>
      </c>
      <c r="N258" s="4">
        <f t="shared" si="165"/>
        <v>0</v>
      </c>
    </row>
    <row r="259" spans="2:14" outlineLevel="1">
      <c r="E259" s="7"/>
      <c r="F259" s="7"/>
      <c r="G259" s="7"/>
      <c r="H259" s="7"/>
      <c r="I259" s="7"/>
    </row>
    <row r="260" spans="2:14" outlineLevel="1">
      <c r="E260" s="7"/>
      <c r="F260" s="7"/>
      <c r="G260" s="7"/>
      <c r="H260" s="7"/>
      <c r="I260" s="7"/>
    </row>
    <row r="261" spans="2:14" outlineLevel="1">
      <c r="E261" s="7"/>
      <c r="F261" s="7"/>
      <c r="G261" s="7"/>
      <c r="H261" s="7"/>
      <c r="I261" s="7"/>
    </row>
    <row r="262" spans="2:14" outlineLevel="1">
      <c r="B262" s="5" t="s">
        <v>152</v>
      </c>
      <c r="E262" s="7"/>
      <c r="F262" s="7"/>
      <c r="G262" s="7"/>
      <c r="H262" s="7"/>
      <c r="I262" s="7"/>
    </row>
    <row r="263" spans="2:14" outlineLevel="1">
      <c r="E263" s="7"/>
      <c r="F263" s="7"/>
      <c r="G263" s="7"/>
      <c r="H263" s="7"/>
      <c r="I263" s="7"/>
    </row>
    <row r="264" spans="2:14" outlineLevel="1">
      <c r="B264" s="4" t="str">
        <f>+B156</f>
        <v>D.1 - Obbligazioni</v>
      </c>
      <c r="E264" s="4">
        <f t="shared" ref="E264:N264" si="166">+E156</f>
        <v>0</v>
      </c>
      <c r="F264" s="4">
        <f t="shared" si="166"/>
        <v>0</v>
      </c>
      <c r="G264" s="4">
        <f t="shared" si="166"/>
        <v>0</v>
      </c>
      <c r="H264" s="4">
        <f t="shared" si="166"/>
        <v>0</v>
      </c>
      <c r="I264" s="4">
        <f t="shared" si="166"/>
        <v>0</v>
      </c>
      <c r="J264" s="4">
        <f t="shared" si="166"/>
        <v>0</v>
      </c>
      <c r="K264" s="4">
        <f t="shared" si="166"/>
        <v>0</v>
      </c>
      <c r="L264" s="4">
        <f t="shared" si="166"/>
        <v>0</v>
      </c>
      <c r="M264" s="4">
        <f t="shared" si="166"/>
        <v>0</v>
      </c>
      <c r="N264" s="4">
        <f t="shared" si="166"/>
        <v>0</v>
      </c>
    </row>
    <row r="265" spans="2:14" outlineLevel="1">
      <c r="B265" s="4" t="str">
        <f>+B157</f>
        <v>D.2 - Obbligazioni convertibili</v>
      </c>
      <c r="E265" s="4">
        <f t="shared" ref="E265:N265" si="167">+E157</f>
        <v>0</v>
      </c>
      <c r="F265" s="4">
        <f t="shared" si="167"/>
        <v>0</v>
      </c>
      <c r="G265" s="4">
        <f t="shared" si="167"/>
        <v>0</v>
      </c>
      <c r="H265" s="4">
        <f t="shared" si="167"/>
        <v>0</v>
      </c>
      <c r="I265" s="4">
        <f t="shared" si="167"/>
        <v>0</v>
      </c>
      <c r="J265" s="4">
        <f t="shared" si="167"/>
        <v>0</v>
      </c>
      <c r="K265" s="4">
        <f t="shared" si="167"/>
        <v>0</v>
      </c>
      <c r="L265" s="4">
        <f t="shared" si="167"/>
        <v>0</v>
      </c>
      <c r="M265" s="4">
        <f t="shared" si="167"/>
        <v>0</v>
      </c>
      <c r="N265" s="4">
        <f t="shared" si="167"/>
        <v>0</v>
      </c>
    </row>
    <row r="266" spans="2:14" outlineLevel="1">
      <c r="B266" s="4" t="str">
        <f>+B158</f>
        <v>D.3 - Debiti verso soci per finanziamenti</v>
      </c>
      <c r="E266" s="4">
        <f t="shared" ref="E266:N266" si="168">+E158</f>
        <v>0</v>
      </c>
      <c r="F266" s="4">
        <f t="shared" si="168"/>
        <v>0</v>
      </c>
      <c r="G266" s="4">
        <f t="shared" si="168"/>
        <v>0</v>
      </c>
      <c r="H266" s="4">
        <f t="shared" si="168"/>
        <v>0</v>
      </c>
      <c r="I266" s="4">
        <f t="shared" si="168"/>
        <v>0</v>
      </c>
      <c r="J266" s="4">
        <f t="shared" si="168"/>
        <v>0</v>
      </c>
      <c r="K266" s="4">
        <f t="shared" si="168"/>
        <v>0</v>
      </c>
      <c r="L266" s="4">
        <f t="shared" si="168"/>
        <v>0</v>
      </c>
      <c r="M266" s="4">
        <f t="shared" si="168"/>
        <v>0</v>
      </c>
      <c r="N266" s="4">
        <f t="shared" si="168"/>
        <v>0</v>
      </c>
    </row>
    <row r="267" spans="2:14" outlineLevel="1">
      <c r="B267" s="4" t="str">
        <f>+B159</f>
        <v>D.4 - Debiti verso banche</v>
      </c>
      <c r="E267" s="4">
        <f t="shared" ref="E267:N267" si="169">+E159</f>
        <v>0</v>
      </c>
      <c r="F267" s="4">
        <f t="shared" si="169"/>
        <v>0</v>
      </c>
      <c r="G267" s="4">
        <f t="shared" si="169"/>
        <v>0</v>
      </c>
      <c r="H267" s="4">
        <f t="shared" si="169"/>
        <v>738</v>
      </c>
      <c r="I267" s="4">
        <f t="shared" si="169"/>
        <v>822</v>
      </c>
      <c r="J267" s="4">
        <f t="shared" si="169"/>
        <v>822</v>
      </c>
      <c r="K267" s="4">
        <f t="shared" si="169"/>
        <v>822</v>
      </c>
      <c r="L267" s="4">
        <f t="shared" si="169"/>
        <v>822</v>
      </c>
      <c r="M267" s="4">
        <f t="shared" si="169"/>
        <v>822</v>
      </c>
      <c r="N267" s="4">
        <f t="shared" si="169"/>
        <v>822</v>
      </c>
    </row>
    <row r="268" spans="2:14" outlineLevel="1">
      <c r="B268" s="4" t="str">
        <f>+B160</f>
        <v>D.5 - Debiti verso altri finanziatori</v>
      </c>
      <c r="E268" s="4">
        <f t="shared" ref="E268:N268" si="170">+E160</f>
        <v>0</v>
      </c>
      <c r="F268" s="4">
        <f t="shared" si="170"/>
        <v>0</v>
      </c>
      <c r="G268" s="4">
        <f t="shared" si="170"/>
        <v>0</v>
      </c>
      <c r="H268" s="4">
        <f t="shared" si="170"/>
        <v>0</v>
      </c>
      <c r="I268" s="4">
        <f t="shared" si="170"/>
        <v>0</v>
      </c>
      <c r="J268" s="4">
        <f t="shared" si="170"/>
        <v>0</v>
      </c>
      <c r="K268" s="4">
        <f t="shared" si="170"/>
        <v>0</v>
      </c>
      <c r="L268" s="4">
        <f t="shared" si="170"/>
        <v>0</v>
      </c>
      <c r="M268" s="4">
        <f t="shared" si="170"/>
        <v>0</v>
      </c>
      <c r="N268" s="4">
        <f t="shared" si="170"/>
        <v>0</v>
      </c>
    </row>
    <row r="269" spans="2:14" outlineLevel="1">
      <c r="B269" s="4" t="str">
        <f>+B163</f>
        <v>D.8 - Debiti rappresentati da titoli di credito</v>
      </c>
      <c r="E269" s="4">
        <f t="shared" ref="E269:N269" si="171">+E163</f>
        <v>0</v>
      </c>
      <c r="F269" s="4">
        <f t="shared" si="171"/>
        <v>0</v>
      </c>
      <c r="G269" s="4">
        <f t="shared" si="171"/>
        <v>0</v>
      </c>
      <c r="H269" s="4">
        <f t="shared" si="171"/>
        <v>0</v>
      </c>
      <c r="I269" s="4">
        <f t="shared" si="171"/>
        <v>0</v>
      </c>
      <c r="J269" s="4">
        <f t="shared" si="171"/>
        <v>0</v>
      </c>
      <c r="K269" s="4">
        <f t="shared" si="171"/>
        <v>0</v>
      </c>
      <c r="L269" s="4">
        <f t="shared" si="171"/>
        <v>0</v>
      </c>
      <c r="M269" s="4">
        <f t="shared" si="171"/>
        <v>0</v>
      </c>
      <c r="N269" s="4">
        <f t="shared" si="171"/>
        <v>0</v>
      </c>
    </row>
    <row r="270" spans="2:14" outlineLevel="1">
      <c r="B270" s="4" t="str">
        <f>+B164</f>
        <v>D.9 - Debiti verso imprese controllate</v>
      </c>
      <c r="E270" s="4">
        <f t="shared" ref="E270:N270" si="172">+E164</f>
        <v>0</v>
      </c>
      <c r="F270" s="4">
        <f t="shared" si="172"/>
        <v>0</v>
      </c>
      <c r="G270" s="4">
        <f t="shared" si="172"/>
        <v>0</v>
      </c>
      <c r="H270" s="4">
        <f t="shared" si="172"/>
        <v>0</v>
      </c>
      <c r="I270" s="4">
        <f t="shared" si="172"/>
        <v>0</v>
      </c>
      <c r="J270" s="4">
        <f t="shared" si="172"/>
        <v>0</v>
      </c>
      <c r="K270" s="4">
        <f t="shared" si="172"/>
        <v>0</v>
      </c>
      <c r="L270" s="4">
        <f t="shared" si="172"/>
        <v>0</v>
      </c>
      <c r="M270" s="4">
        <f t="shared" si="172"/>
        <v>0</v>
      </c>
      <c r="N270" s="4">
        <f t="shared" si="172"/>
        <v>0</v>
      </c>
    </row>
    <row r="271" spans="2:14" outlineLevel="1">
      <c r="B271" s="4" t="str">
        <f>+B165</f>
        <v>D.10 - Debiti verso imprese collegate</v>
      </c>
      <c r="E271" s="4">
        <f t="shared" ref="E271:N271" si="173">+E165</f>
        <v>0</v>
      </c>
      <c r="F271" s="4">
        <f t="shared" si="173"/>
        <v>0</v>
      </c>
      <c r="G271" s="4">
        <f t="shared" si="173"/>
        <v>0</v>
      </c>
      <c r="H271" s="4">
        <f t="shared" si="173"/>
        <v>0</v>
      </c>
      <c r="I271" s="4">
        <f t="shared" si="173"/>
        <v>0</v>
      </c>
      <c r="J271" s="4">
        <f t="shared" si="173"/>
        <v>0</v>
      </c>
      <c r="K271" s="4">
        <f t="shared" si="173"/>
        <v>0</v>
      </c>
      <c r="L271" s="4">
        <f t="shared" si="173"/>
        <v>0</v>
      </c>
      <c r="M271" s="4">
        <f t="shared" si="173"/>
        <v>0</v>
      </c>
      <c r="N271" s="4">
        <f t="shared" si="173"/>
        <v>0</v>
      </c>
    </row>
    <row r="272" spans="2:14" outlineLevel="1">
      <c r="B272" s="4" t="str">
        <f>+B166</f>
        <v>D.11 - Debiti verso controllanti</v>
      </c>
      <c r="E272" s="4">
        <f t="shared" ref="E272:N272" si="174">+E166</f>
        <v>0</v>
      </c>
      <c r="F272" s="4">
        <f t="shared" si="174"/>
        <v>0</v>
      </c>
      <c r="G272" s="4">
        <f t="shared" si="174"/>
        <v>0</v>
      </c>
      <c r="H272" s="4">
        <f t="shared" si="174"/>
        <v>0</v>
      </c>
      <c r="I272" s="4">
        <f t="shared" si="174"/>
        <v>0</v>
      </c>
      <c r="J272" s="4">
        <f t="shared" si="174"/>
        <v>0</v>
      </c>
      <c r="K272" s="4">
        <f t="shared" si="174"/>
        <v>0</v>
      </c>
      <c r="L272" s="4">
        <f t="shared" si="174"/>
        <v>0</v>
      </c>
      <c r="M272" s="4">
        <f t="shared" si="174"/>
        <v>0</v>
      </c>
      <c r="N272" s="4">
        <f t="shared" si="174"/>
        <v>0</v>
      </c>
    </row>
    <row r="273" spans="2:14" outlineLevel="1">
      <c r="B273" s="4" t="str">
        <f>+B167</f>
        <v>D.11-bis - Debiti verso imprese sottoposte al controllo delle controllanti</v>
      </c>
      <c r="E273" s="4">
        <f t="shared" ref="E273:N273" si="175">+E167</f>
        <v>0</v>
      </c>
      <c r="F273" s="4">
        <f t="shared" si="175"/>
        <v>0</v>
      </c>
      <c r="G273" s="4">
        <f t="shared" si="175"/>
        <v>0</v>
      </c>
      <c r="H273" s="4">
        <f t="shared" si="175"/>
        <v>0</v>
      </c>
      <c r="I273" s="4">
        <f t="shared" si="175"/>
        <v>0</v>
      </c>
      <c r="J273" s="4">
        <f t="shared" si="175"/>
        <v>0</v>
      </c>
      <c r="K273" s="4">
        <f t="shared" si="175"/>
        <v>0</v>
      </c>
      <c r="L273" s="4">
        <f t="shared" si="175"/>
        <v>0</v>
      </c>
      <c r="M273" s="4">
        <f t="shared" si="175"/>
        <v>0</v>
      </c>
      <c r="N273" s="4">
        <f t="shared" si="175"/>
        <v>0</v>
      </c>
    </row>
    <row r="274" spans="2:14" ht="16.149999999999999" outlineLevel="1" thickBot="1">
      <c r="B274" s="39" t="s">
        <v>153</v>
      </c>
      <c r="C274" s="39"/>
      <c r="D274" s="40"/>
      <c r="E274" s="39">
        <f>SUM(E264:E273)</f>
        <v>0</v>
      </c>
      <c r="F274" s="39">
        <f t="shared" ref="F274:N274" si="176">SUM(F264:F273)</f>
        <v>0</v>
      </c>
      <c r="G274" s="39">
        <f t="shared" si="176"/>
        <v>0</v>
      </c>
      <c r="H274" s="39">
        <f t="shared" si="176"/>
        <v>738</v>
      </c>
      <c r="I274" s="39">
        <f t="shared" si="176"/>
        <v>822</v>
      </c>
      <c r="J274" s="39">
        <f t="shared" si="176"/>
        <v>822</v>
      </c>
      <c r="K274" s="39">
        <f>SUM(K264:K273)</f>
        <v>822</v>
      </c>
      <c r="L274" s="39">
        <f t="shared" si="176"/>
        <v>822</v>
      </c>
      <c r="M274" s="39">
        <f t="shared" si="176"/>
        <v>822</v>
      </c>
      <c r="N274" s="39">
        <f t="shared" si="176"/>
        <v>822</v>
      </c>
    </row>
    <row r="275" spans="2:14" ht="16.149999999999999" outlineLevel="1" thickTop="1"/>
    <row r="276" spans="2:14" outlineLevel="1">
      <c r="B276" s="4" t="s">
        <v>149</v>
      </c>
      <c r="E276" s="4">
        <f t="shared" ref="E276:H276" si="177">+D278</f>
        <v>0</v>
      </c>
      <c r="F276" s="4">
        <f t="shared" si="177"/>
        <v>0</v>
      </c>
      <c r="G276" s="4">
        <f t="shared" si="177"/>
        <v>0</v>
      </c>
      <c r="H276" s="4">
        <f t="shared" si="177"/>
        <v>0</v>
      </c>
      <c r="I276" s="4">
        <f>+H278</f>
        <v>738</v>
      </c>
      <c r="J276" s="4">
        <f t="shared" ref="J276:N276" si="178">+I278</f>
        <v>822</v>
      </c>
      <c r="K276" s="4">
        <f t="shared" si="178"/>
        <v>822</v>
      </c>
      <c r="L276" s="4">
        <f t="shared" si="178"/>
        <v>822</v>
      </c>
      <c r="M276" s="4">
        <f t="shared" si="178"/>
        <v>822</v>
      </c>
      <c r="N276" s="4">
        <f t="shared" si="178"/>
        <v>822</v>
      </c>
    </row>
    <row r="277" spans="2:14" outlineLevel="1">
      <c r="B277" s="4" t="s">
        <v>154</v>
      </c>
      <c r="E277" s="4">
        <f t="shared" ref="E277:H277" si="179">+E278-E276</f>
        <v>0</v>
      </c>
      <c r="F277" s="4">
        <f t="shared" si="179"/>
        <v>0</v>
      </c>
      <c r="G277" s="4">
        <f t="shared" si="179"/>
        <v>0</v>
      </c>
      <c r="H277" s="4">
        <f t="shared" si="179"/>
        <v>738</v>
      </c>
      <c r="I277" s="4">
        <f>+I278-I276</f>
        <v>84</v>
      </c>
      <c r="J277" s="4">
        <f t="shared" ref="J277:N277" si="180">+J278-J276</f>
        <v>0</v>
      </c>
      <c r="K277" s="4">
        <f>+K278-K276</f>
        <v>0</v>
      </c>
      <c r="L277" s="4">
        <f t="shared" si="180"/>
        <v>0</v>
      </c>
      <c r="M277" s="4">
        <f t="shared" si="180"/>
        <v>0</v>
      </c>
      <c r="N277" s="4">
        <f t="shared" si="180"/>
        <v>0</v>
      </c>
    </row>
    <row r="278" spans="2:14" ht="16.149999999999999" outlineLevel="1" thickBot="1">
      <c r="B278" s="39" t="s">
        <v>151</v>
      </c>
      <c r="C278" s="39"/>
      <c r="D278" s="40"/>
      <c r="E278" s="39">
        <f t="shared" ref="E278:H278" si="181">+E274</f>
        <v>0</v>
      </c>
      <c r="F278" s="39">
        <f t="shared" si="181"/>
        <v>0</v>
      </c>
      <c r="G278" s="39">
        <f t="shared" si="181"/>
        <v>0</v>
      </c>
      <c r="H278" s="39">
        <f t="shared" si="181"/>
        <v>738</v>
      </c>
      <c r="I278" s="39">
        <f>+I274</f>
        <v>822</v>
      </c>
      <c r="J278" s="39">
        <f t="shared" ref="J278:N278" si="182">+J274</f>
        <v>822</v>
      </c>
      <c r="K278" s="39">
        <f>+K274</f>
        <v>822</v>
      </c>
      <c r="L278" s="39">
        <f t="shared" si="182"/>
        <v>822</v>
      </c>
      <c r="M278" s="39">
        <f t="shared" si="182"/>
        <v>822</v>
      </c>
      <c r="N278" s="39">
        <f t="shared" si="182"/>
        <v>822</v>
      </c>
    </row>
    <row r="279" spans="2:14" ht="16.149999999999999" outlineLevel="1" thickTop="1">
      <c r="B279" s="4" t="s">
        <v>155</v>
      </c>
      <c r="E279" s="4">
        <f t="shared" ref="E279:G279" si="183">-E113</f>
        <v>0</v>
      </c>
      <c r="F279" s="4">
        <f t="shared" si="183"/>
        <v>0</v>
      </c>
      <c r="G279" s="4">
        <f t="shared" si="183"/>
        <v>0</v>
      </c>
      <c r="H279" s="4">
        <f>H113</f>
        <v>-27.361000000000001</v>
      </c>
      <c r="I279" s="4">
        <f>I113</f>
        <v>-22.009</v>
      </c>
      <c r="J279" s="4">
        <f>AVERAGE(J276,J278)*J36</f>
        <v>-22.009</v>
      </c>
      <c r="K279" s="4">
        <f t="shared" ref="K279:N279" si="184">AVERAGE(K276,K278)*K36</f>
        <v>-22.009</v>
      </c>
      <c r="L279" s="4">
        <f t="shared" si="184"/>
        <v>-22.009</v>
      </c>
      <c r="M279" s="4">
        <f t="shared" si="184"/>
        <v>-22.009</v>
      </c>
      <c r="N279" s="4">
        <f t="shared" si="184"/>
        <v>-22.009</v>
      </c>
    </row>
    <row r="280" spans="2:14" outlineLevel="1">
      <c r="E280" s="7"/>
      <c r="F280" s="7"/>
      <c r="G280" s="7"/>
      <c r="H280" s="7"/>
      <c r="I280" s="7"/>
    </row>
    <row r="281" spans="2:14" outlineLevel="1">
      <c r="E281" s="7"/>
      <c r="F281" s="7"/>
      <c r="G281" s="7"/>
      <c r="H281" s="7">
        <f>+H282+H290-H151</f>
        <v>0</v>
      </c>
      <c r="I281" s="7">
        <f>+I282+I290-I151</f>
        <v>0</v>
      </c>
    </row>
    <row r="282" spans="2:14" outlineLevel="1">
      <c r="B282" s="4" t="s">
        <v>116</v>
      </c>
      <c r="E282" s="4">
        <f>SUM(E211:E226,E256:E258)</f>
        <v>0</v>
      </c>
      <c r="F282" s="4">
        <f t="shared" ref="F282:N282" si="185">SUM(F211:F226,F256:F258)</f>
        <v>0</v>
      </c>
      <c r="G282" s="4">
        <f t="shared" si="185"/>
        <v>0</v>
      </c>
      <c r="H282" s="4">
        <f>SUM(H211:H226,H256:H258)</f>
        <v>921.56100000000004</v>
      </c>
      <c r="I282" s="4">
        <f t="shared" si="185"/>
        <v>1015.907</v>
      </c>
      <c r="J282" s="4">
        <f t="shared" si="185"/>
        <v>1818.1302000000001</v>
      </c>
      <c r="K282" s="4">
        <f t="shared" si="185"/>
        <v>1790.3578</v>
      </c>
      <c r="L282" s="4">
        <f t="shared" si="185"/>
        <v>3187.0406000000003</v>
      </c>
      <c r="M282" s="4">
        <f t="shared" si="185"/>
        <v>3193.7718</v>
      </c>
      <c r="N282" s="4">
        <f t="shared" si="185"/>
        <v>3934.1590000000001</v>
      </c>
    </row>
    <row r="283" spans="2:14" outlineLevel="1">
      <c r="B283" s="4" t="s">
        <v>121</v>
      </c>
      <c r="E283" s="4">
        <f t="shared" ref="E283:N283" si="186">SUM(E228:E233,E274)</f>
        <v>0</v>
      </c>
      <c r="F283" s="4">
        <f t="shared" si="186"/>
        <v>0</v>
      </c>
      <c r="G283" s="4">
        <f t="shared" si="186"/>
        <v>0</v>
      </c>
      <c r="H283" s="4">
        <f t="shared" si="186"/>
        <v>742</v>
      </c>
      <c r="I283" s="4">
        <f t="shared" si="186"/>
        <v>826</v>
      </c>
      <c r="J283" s="4">
        <f t="shared" si="186"/>
        <v>826.1</v>
      </c>
      <c r="K283" s="4">
        <f t="shared" si="186"/>
        <v>826.56999863363444</v>
      </c>
      <c r="L283" s="4">
        <f t="shared" si="186"/>
        <v>828.01766756560505</v>
      </c>
      <c r="M283" s="4">
        <f t="shared" si="186"/>
        <v>833.31902448683218</v>
      </c>
      <c r="N283" s="4">
        <f t="shared" si="186"/>
        <v>862.92523138424542</v>
      </c>
    </row>
    <row r="284" spans="2:14" outlineLevel="1">
      <c r="B284" s="4" t="s">
        <v>156</v>
      </c>
      <c r="E284" s="4">
        <f>+E282-E283</f>
        <v>0</v>
      </c>
      <c r="F284" s="4">
        <f t="shared" ref="F284:N284" si="187">+F282-F283</f>
        <v>0</v>
      </c>
      <c r="G284" s="4">
        <f t="shared" si="187"/>
        <v>0</v>
      </c>
      <c r="H284" s="4">
        <f t="shared" si="187"/>
        <v>179.56100000000004</v>
      </c>
      <c r="I284" s="4">
        <f t="shared" si="187"/>
        <v>189.90700000000004</v>
      </c>
      <c r="J284" s="4">
        <f t="shared" si="187"/>
        <v>992.03020000000004</v>
      </c>
      <c r="K284" s="4">
        <f t="shared" si="187"/>
        <v>963.78780136636556</v>
      </c>
      <c r="L284" s="4">
        <f t="shared" si="187"/>
        <v>2359.0229324343954</v>
      </c>
      <c r="M284" s="4">
        <f t="shared" si="187"/>
        <v>2360.4527755131676</v>
      </c>
      <c r="N284" s="4">
        <f t="shared" si="187"/>
        <v>3071.2337686157548</v>
      </c>
    </row>
    <row r="285" spans="2:14" outlineLevel="1">
      <c r="E285" s="7"/>
      <c r="F285" s="7"/>
      <c r="G285" s="7"/>
      <c r="H285" s="7"/>
      <c r="I285" s="7"/>
    </row>
    <row r="286" spans="2:14" outlineLevel="1">
      <c r="B286" s="4" t="s">
        <v>157</v>
      </c>
      <c r="E286" s="7">
        <f t="shared" ref="E286:N286" si="188">+E154</f>
        <v>0</v>
      </c>
      <c r="F286" s="7">
        <f t="shared" si="188"/>
        <v>0</v>
      </c>
      <c r="G286" s="7">
        <f t="shared" si="188"/>
        <v>0</v>
      </c>
      <c r="H286" s="4">
        <f t="shared" si="188"/>
        <v>0</v>
      </c>
      <c r="I286" s="4">
        <f t="shared" si="188"/>
        <v>0</v>
      </c>
      <c r="J286" s="4">
        <f t="shared" si="188"/>
        <v>0</v>
      </c>
      <c r="K286" s="4">
        <f t="shared" si="188"/>
        <v>0</v>
      </c>
      <c r="L286" s="4">
        <f t="shared" si="188"/>
        <v>0</v>
      </c>
      <c r="M286" s="4">
        <f t="shared" si="188"/>
        <v>0</v>
      </c>
      <c r="N286" s="4">
        <f t="shared" si="188"/>
        <v>0</v>
      </c>
    </row>
    <row r="287" spans="2:14" outlineLevel="1">
      <c r="B287" s="4" t="s">
        <v>158</v>
      </c>
      <c r="E287" s="7">
        <f t="shared" ref="E287:N287" si="189">+E155</f>
        <v>0</v>
      </c>
      <c r="F287" s="7">
        <f t="shared" si="189"/>
        <v>0</v>
      </c>
      <c r="G287" s="7">
        <f t="shared" si="189"/>
        <v>0</v>
      </c>
      <c r="H287" s="4">
        <f t="shared" si="189"/>
        <v>161.39699999999999</v>
      </c>
      <c r="I287" s="4">
        <f t="shared" si="189"/>
        <v>173.96799999999999</v>
      </c>
      <c r="J287" s="4">
        <f t="shared" si="189"/>
        <v>173.96799999999999</v>
      </c>
      <c r="K287" s="4">
        <f t="shared" si="189"/>
        <v>173.96799999999999</v>
      </c>
      <c r="L287" s="4">
        <f t="shared" si="189"/>
        <v>173.96799999999999</v>
      </c>
      <c r="M287" s="4">
        <f t="shared" si="189"/>
        <v>173.96799999999999</v>
      </c>
      <c r="N287" s="4">
        <f t="shared" si="189"/>
        <v>173.96799999999999</v>
      </c>
    </row>
    <row r="288" spans="2:14" outlineLevel="1">
      <c r="E288" s="7"/>
      <c r="F288" s="7"/>
      <c r="G288" s="7"/>
      <c r="H288" s="7"/>
      <c r="I288" s="7"/>
    </row>
    <row r="289" spans="2:14" outlineLevel="1">
      <c r="E289" s="7"/>
      <c r="F289" s="7"/>
      <c r="G289" s="7"/>
      <c r="H289" s="7"/>
      <c r="I289" s="7"/>
    </row>
    <row r="290" spans="2:14" outlineLevel="1">
      <c r="B290" s="4" t="s">
        <v>159</v>
      </c>
      <c r="E290" s="4">
        <f t="shared" ref="E290:N290" si="190">+E149</f>
        <v>0</v>
      </c>
      <c r="F290" s="4">
        <f t="shared" si="190"/>
        <v>0</v>
      </c>
      <c r="G290" s="4">
        <f t="shared" si="190"/>
        <v>0</v>
      </c>
      <c r="H290" s="4">
        <f t="shared" si="190"/>
        <v>13.242000000000001</v>
      </c>
      <c r="I290" s="4">
        <f t="shared" si="190"/>
        <v>16.181000000000001</v>
      </c>
      <c r="J290" s="4">
        <f t="shared" si="190"/>
        <v>-43.166049999999615</v>
      </c>
      <c r="K290" s="4">
        <f t="shared" si="190"/>
        <v>32.683313633634953</v>
      </c>
      <c r="L290" s="4">
        <f t="shared" si="190"/>
        <v>346.45959806560586</v>
      </c>
      <c r="M290" s="4">
        <f t="shared" si="190"/>
        <v>1646.3287194868335</v>
      </c>
      <c r="N290" s="4">
        <f t="shared" si="190"/>
        <v>11470.487226384248</v>
      </c>
    </row>
    <row r="291" spans="2:14" outlineLevel="1">
      <c r="B291" s="4" t="s">
        <v>160</v>
      </c>
      <c r="E291" s="4">
        <f t="shared" ref="E291:N291" si="191">+E178</f>
        <v>0</v>
      </c>
      <c r="F291" s="4">
        <f t="shared" si="191"/>
        <v>0</v>
      </c>
      <c r="G291" s="4">
        <f t="shared" si="191"/>
        <v>0</v>
      </c>
      <c r="H291" s="4">
        <f t="shared" si="191"/>
        <v>31.413999999999998</v>
      </c>
      <c r="I291" s="4">
        <f t="shared" si="191"/>
        <v>32.273000000000003</v>
      </c>
      <c r="J291" s="4">
        <f t="shared" si="191"/>
        <v>774.90415000000007</v>
      </c>
      <c r="K291" s="4">
        <f t="shared" si="191"/>
        <v>822.51111500000013</v>
      </c>
      <c r="L291" s="4">
        <f t="shared" si="191"/>
        <v>2531.5225305000004</v>
      </c>
      <c r="M291" s="4">
        <f t="shared" si="191"/>
        <v>3832.8214950000011</v>
      </c>
      <c r="N291" s="4">
        <f t="shared" si="191"/>
        <v>14367.760995000001</v>
      </c>
    </row>
    <row r="292" spans="2:14" outlineLevel="1"/>
    <row r="293" spans="2:14" outlineLevel="1">
      <c r="B293" s="4" t="s">
        <v>128</v>
      </c>
      <c r="E293" s="4">
        <f>+E284+E290-E291</f>
        <v>0</v>
      </c>
      <c r="F293" s="4">
        <f>+F284+F290-F291</f>
        <v>0</v>
      </c>
      <c r="G293" s="4">
        <f>+G284+G290-G291</f>
        <v>0</v>
      </c>
      <c r="H293" s="4">
        <f>+H284+H290-H286-H287-H291</f>
        <v>-7.9999999999635918E-3</v>
      </c>
      <c r="I293" s="4">
        <f>+I284+I290-I286-I287-I291</f>
        <v>-0.15299999999994185</v>
      </c>
      <c r="J293" s="4">
        <f t="shared" ref="J293:N293" si="192">+J284+J290-J286-J287-J291</f>
        <v>-7.9999999995834514E-3</v>
      </c>
      <c r="K293" s="4">
        <f t="shared" si="192"/>
        <v>-7.9999999995834514E-3</v>
      </c>
      <c r="L293" s="4">
        <f t="shared" si="192"/>
        <v>-7.9999999989013304E-3</v>
      </c>
      <c r="M293" s="4">
        <f t="shared" si="192"/>
        <v>-7.9999999998108251E-3</v>
      </c>
      <c r="N293" s="4">
        <f t="shared" si="192"/>
        <v>-7.9999999979918357E-3</v>
      </c>
    </row>
    <row r="294" spans="2:14" outlineLevel="1">
      <c r="E294" s="7"/>
      <c r="F294" s="7"/>
      <c r="G294" s="7"/>
      <c r="H294" s="7"/>
      <c r="I294" s="7"/>
    </row>
    <row r="295" spans="2:14">
      <c r="E295" s="7"/>
      <c r="F295" s="7"/>
      <c r="G295" s="7"/>
      <c r="H295" s="7"/>
      <c r="I295" s="7"/>
    </row>
    <row r="296" spans="2:14" ht="20.45">
      <c r="B296" s="54" t="s">
        <v>161</v>
      </c>
      <c r="C296" s="55"/>
      <c r="D296" s="56"/>
      <c r="E296" s="55"/>
      <c r="F296" s="55"/>
      <c r="G296" s="55"/>
      <c r="H296" s="55"/>
      <c r="I296" s="55"/>
      <c r="J296" s="55"/>
      <c r="K296" s="55"/>
      <c r="L296" s="55"/>
      <c r="M296" s="55"/>
      <c r="N296" s="55"/>
    </row>
    <row r="297" spans="2:14" outlineLevel="1"/>
    <row r="298" spans="2:14" outlineLevel="1">
      <c r="B298" s="4" t="s">
        <v>162</v>
      </c>
      <c r="E298" s="4">
        <f t="shared" ref="E298:N298" si="193">+E91</f>
        <v>0</v>
      </c>
      <c r="F298" s="4">
        <f t="shared" si="193"/>
        <v>0</v>
      </c>
      <c r="G298" s="4">
        <f t="shared" si="193"/>
        <v>0</v>
      </c>
      <c r="H298" s="4">
        <f t="shared" si="193"/>
        <v>1101.7159999999999</v>
      </c>
      <c r="I298" s="4">
        <f t="shared" si="193"/>
        <v>1186.941</v>
      </c>
      <c r="J298" s="4">
        <f t="shared" si="193"/>
        <v>1305.6351000000002</v>
      </c>
      <c r="K298" s="4">
        <f t="shared" si="193"/>
        <v>1958.4526500000002</v>
      </c>
      <c r="L298" s="4">
        <f t="shared" si="193"/>
        <v>3916.9053000000004</v>
      </c>
      <c r="M298" s="4">
        <f t="shared" si="193"/>
        <v>11750.715900000001</v>
      </c>
      <c r="N298" s="4">
        <f t="shared" si="193"/>
        <v>58753.579500000007</v>
      </c>
    </row>
    <row r="299" spans="2:14" outlineLevel="1">
      <c r="B299" s="4" t="s">
        <v>163</v>
      </c>
      <c r="E299" s="33" t="e">
        <f t="shared" ref="E299:N299" si="194">E122/E91</f>
        <v>#DIV/0!</v>
      </c>
      <c r="F299" s="33" t="e">
        <f t="shared" si="194"/>
        <v>#DIV/0!</v>
      </c>
      <c r="G299" s="33" t="e">
        <f t="shared" si="194"/>
        <v>#DIV/0!</v>
      </c>
      <c r="H299" s="33">
        <f t="shared" si="194"/>
        <v>7.7663390565263585E-2</v>
      </c>
      <c r="I299" s="33">
        <f t="shared" si="194"/>
        <v>7.5583369350288004E-2</v>
      </c>
      <c r="J299" s="33">
        <f t="shared" si="194"/>
        <v>8.0417798204107785E-2</v>
      </c>
      <c r="K299" s="33">
        <f t="shared" si="194"/>
        <v>0.16081467683173251</v>
      </c>
      <c r="L299" s="33">
        <f t="shared" si="194"/>
        <v>0.23379601007969231</v>
      </c>
      <c r="M299" s="33">
        <f t="shared" si="194"/>
        <v>0.27677734332765214</v>
      </c>
      <c r="N299" s="33">
        <f t="shared" si="194"/>
        <v>0.36916240992601984</v>
      </c>
    </row>
    <row r="300" spans="2:14" outlineLevel="1"/>
    <row r="301" spans="2:14" outlineLevel="1">
      <c r="B301" s="4" t="s">
        <v>164</v>
      </c>
      <c r="E301" s="4">
        <f t="shared" ref="E301:N301" si="195">E193</f>
        <v>0</v>
      </c>
      <c r="F301" s="4">
        <f t="shared" si="195"/>
        <v>0</v>
      </c>
      <c r="G301" s="4">
        <f t="shared" si="195"/>
        <v>0</v>
      </c>
      <c r="H301" s="4">
        <f t="shared" si="195"/>
        <v>0.25499999999992262</v>
      </c>
      <c r="I301" s="4">
        <f t="shared" si="195"/>
        <v>-52.666999999999803</v>
      </c>
      <c r="J301" s="4">
        <f t="shared" si="195"/>
        <v>158.23295000000005</v>
      </c>
      <c r="K301" s="4">
        <f t="shared" si="195"/>
        <v>273.57436363363456</v>
      </c>
      <c r="L301" s="4">
        <f t="shared" si="195"/>
        <v>750.5012844319707</v>
      </c>
      <c r="M301" s="4">
        <f t="shared" si="195"/>
        <v>1812.5941214212278</v>
      </c>
      <c r="N301" s="4">
        <f t="shared" si="195"/>
        <v>10321.883506897415</v>
      </c>
    </row>
    <row r="302" spans="2:14" outlineLevel="1">
      <c r="B302" s="4" t="s">
        <v>165</v>
      </c>
      <c r="E302" s="4">
        <f t="shared" ref="E302:N302" si="196">-E196</f>
        <v>0</v>
      </c>
      <c r="F302" s="4">
        <f t="shared" si="196"/>
        <v>0</v>
      </c>
      <c r="G302" s="4">
        <f t="shared" si="196"/>
        <v>0</v>
      </c>
      <c r="H302" s="4">
        <f t="shared" si="196"/>
        <v>-560.83799999999997</v>
      </c>
      <c r="I302" s="4">
        <f t="shared" si="196"/>
        <v>-28.250999999999991</v>
      </c>
      <c r="J302" s="4">
        <f t="shared" si="196"/>
        <v>-1037.7249999999999</v>
      </c>
      <c r="K302" s="4">
        <f t="shared" si="196"/>
        <v>-237.72499999999999</v>
      </c>
      <c r="L302" s="4">
        <f t="shared" si="196"/>
        <v>-2037.7249999999999</v>
      </c>
      <c r="M302" s="4">
        <f t="shared" si="196"/>
        <v>-537.72500000000002</v>
      </c>
      <c r="N302" s="4">
        <f t="shared" si="196"/>
        <v>-537.72500000000002</v>
      </c>
    </row>
    <row r="303" spans="2:14" outlineLevel="1">
      <c r="B303" s="4" t="s">
        <v>166</v>
      </c>
      <c r="E303" s="4">
        <f>E200</f>
        <v>0</v>
      </c>
      <c r="F303" s="4">
        <f t="shared" ref="F303:N303" si="197">F200</f>
        <v>0</v>
      </c>
      <c r="G303" s="4">
        <f t="shared" si="197"/>
        <v>0</v>
      </c>
      <c r="H303" s="4">
        <f t="shared" si="197"/>
        <v>769.15899999999999</v>
      </c>
      <c r="I303" s="4">
        <f t="shared" si="197"/>
        <v>84.00200000000001</v>
      </c>
      <c r="J303" s="4">
        <f t="shared" si="197"/>
        <v>820</v>
      </c>
      <c r="K303" s="4">
        <f t="shared" si="197"/>
        <v>40</v>
      </c>
      <c r="L303" s="4">
        <f t="shared" si="197"/>
        <v>1601</v>
      </c>
      <c r="M303" s="4">
        <f t="shared" si="197"/>
        <v>25</v>
      </c>
      <c r="N303" s="4">
        <f t="shared" si="197"/>
        <v>40</v>
      </c>
    </row>
    <row r="304" spans="2:1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</sheetData>
  <sheetProtection formatCells="0" formatColumns="0" formatRows="0" insertColumns="0" insertRows="0" insertHyperlinks="0" deleteColumns="0" deleteRows="0" sort="0" autoFilter="0" pivotTables="0"/>
  <conditionalFormatting sqref="E3:N3">
    <cfRule type="containsText" dxfId="1" priority="1" operator="containsText" text="OK">
      <formula>NOT(ISERROR(SEARCH("OK",E3)))</formula>
    </cfRule>
    <cfRule type="containsText" dxfId="0" priority="2" operator="containsText" text="ERROR">
      <formula>NOT(ISERROR(SEARCH("ERROR",E3)))</formula>
    </cfRule>
  </conditionalFormatting>
  <pageMargins left="0.70866141732283472" right="0.70866141732283472" top="0.74803149606299213" bottom="0.74803149606299213" header="0.31496062992125984" footer="0.31496062992125984"/>
  <pageSetup scale="78" orientation="landscape" r:id="rId1"/>
  <ignoredErrors>
    <ignoredError sqref="F1:G1 J123:N126 J180:N181 E295:N295 J294:N294 E3:N3 E208:N209 E206:H207 K1:N1 J183:N185 J2:N2 I1" unlockedFormula="1"/>
    <ignoredError sqref="H36:I36 J113:M1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CFI</dc:creator>
  <cp:keywords/>
  <dc:description/>
  <cp:lastModifiedBy>Emanuele Tozzi</cp:lastModifiedBy>
  <cp:revision/>
  <dcterms:created xsi:type="dcterms:W3CDTF">2014-11-08T22:00:02Z</dcterms:created>
  <dcterms:modified xsi:type="dcterms:W3CDTF">2025-03-29T12:35:04Z</dcterms:modified>
  <cp:category/>
  <cp:contentStatus/>
</cp:coreProperties>
</file>